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2.xml" ContentType="application/vnd.openxmlformats-officedocument.spreadsheetml.table+xml"/>
  <Override PartName="/xl/drawings/drawing3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omments2.xml" ContentType="application/vnd.openxmlformats-officedocument.spreadsheetml.comments+xml"/>
  <Override PartName="/xl/tables/table28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29.xml" ContentType="application/vnd.openxmlformats-officedocument.spreadsheetml.table+xml"/>
  <Override PartName="/xl/comments4.xml" ContentType="application/vnd.openxmlformats-officedocument.spreadsheetml.comments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pivotTables/pivotTable2.xml" ContentType="application/vnd.openxmlformats-officedocument.spreadsheetml.pivotTable+xml"/>
  <Override PartName="/xl/tables/table3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5- MAIO\2 Cercos\"/>
    </mc:Choice>
  </mc:AlternateContent>
  <xr:revisionPtr revIDLastSave="0" documentId="8_{142F38E0-7D22-4C6D-B604-EFE842CE5E35}" xr6:coauthVersionLast="47" xr6:coauthVersionMax="47" xr10:uidLastSave="{00000000-0000-0000-0000-000000000000}"/>
  <bookViews>
    <workbookView xWindow="-120" yWindow="-120" windowWidth="29040" windowHeight="15840" tabRatio="776" firstSheet="6" activeTab="6" xr2:uid="{EBC4D19C-1084-4BA1-8CF3-FFC2C111FE3F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state="hidden" r:id="rId13"/>
    <sheet name="Conexão " sheetId="87" state="hidden" r:id="rId14"/>
    <sheet name="CUSD" sheetId="61" r:id="rId15"/>
    <sheet name="Encargos" sheetId="51" r:id="rId16"/>
    <sheet name="Financeiros" sheetId="50" r:id="rId17"/>
    <sheet name="ICMS" sheetId="137" state="hidden" r:id="rId18"/>
    <sheet name="CVA" sheetId="135" r:id="rId19"/>
    <sheet name="Conta covid" sheetId="131" state="hidden" r:id="rId20"/>
    <sheet name="Aj.Subsídio" sheetId="123" r:id="rId21"/>
    <sheet name="Indexador" sheetId="25" r:id="rId22"/>
    <sheet name="BD SUPRIMENTO" sheetId="84" state="hidden" r:id="rId23"/>
    <sheet name="RA0BD" sheetId="57" state="hidden" r:id="rId24"/>
    <sheet name="SimuBD" sheetId="62" state="hidden" r:id="rId25"/>
    <sheet name="Índices" sheetId="7" r:id="rId26"/>
    <sheet name="BD-NET" sheetId="49" r:id="rId27"/>
    <sheet name="Sharepoint" sheetId="121" state="hidden" r:id="rId28"/>
    <sheet name="COEFICIENTES" sheetId="102" state="hidden" r:id="rId29"/>
    <sheet name="REN 473" sheetId="95" state="hidden" r:id="rId30"/>
    <sheet name="ERD" sheetId="94" state="hidden" r:id="rId31"/>
    <sheet name="Glossário Vínculos" sheetId="85" state="hidden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8" hidden="1">#REF!</definedName>
    <definedName name="__123Graph_APREVRCOM" localSheetId="8" hidden="1">#REF!</definedName>
    <definedName name="__123Graph_APREVRCOM" hidden="1">#REF!</definedName>
    <definedName name="__123Graph_APREVREALI" localSheetId="18" hidden="1">#REF!</definedName>
    <definedName name="__123Graph_APREVREALI" localSheetId="8" hidden="1">#REF!</definedName>
    <definedName name="__123Graph_APREVREALI" hidden="1">#REF!</definedName>
    <definedName name="__123Graph_APREVRIND" localSheetId="18" hidden="1">#REF!</definedName>
    <definedName name="__123Graph_APREVRIND" localSheetId="8" hidden="1">#REF!</definedName>
    <definedName name="__123Graph_APREVRIND" hidden="1">#REF!</definedName>
    <definedName name="__123Graph_APREVROUT" localSheetId="18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8" hidden="1">#REF!</definedName>
    <definedName name="__123Graph_APREVRRES" localSheetId="8" hidden="1">#REF!</definedName>
    <definedName name="__123Graph_APREVRRES" hidden="1">#REF!</definedName>
    <definedName name="__123Graph_APREVRTOT" localSheetId="18" hidden="1">#REF!</definedName>
    <definedName name="__123Graph_APREVRTOT" localSheetId="8" hidden="1">#REF!</definedName>
    <definedName name="__123Graph_APREVRTOT" hidden="1">#REF!</definedName>
    <definedName name="__123Graph_B" localSheetId="18" hidden="1">#REF!</definedName>
    <definedName name="__123Graph_B" localSheetId="8" hidden="1">#REF!</definedName>
    <definedName name="__123Graph_B" hidden="1">#REF!</definedName>
    <definedName name="__123Graph_BCOMPARA" localSheetId="18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8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8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8" hidden="1">#REF!</definedName>
    <definedName name="__123Graph_BPREVREALI" localSheetId="8" hidden="1">#REF!</definedName>
    <definedName name="__123Graph_BPREVREALI" hidden="1">#REF!</definedName>
    <definedName name="__123Graph_C" localSheetId="18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8" hidden="1">#REF!</definedName>
    <definedName name="__123Graph_CPREVREALI" localSheetId="8" hidden="1">#REF!</definedName>
    <definedName name="__123Graph_CPREVREALI" hidden="1">#REF!</definedName>
    <definedName name="__123Graph_D" localSheetId="18" hidden="1">#REF!</definedName>
    <definedName name="__123Graph_D" localSheetId="8" hidden="1">#REF!</definedName>
    <definedName name="__123Graph_D" hidden="1">#REF!</definedName>
    <definedName name="__123Graph_DCDI" localSheetId="18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8" hidden="1">#REF!</definedName>
    <definedName name="__123Graph_DCOMPARA" localSheetId="8" hidden="1">#REF!</definedName>
    <definedName name="__123Graph_DCOMPARA" hidden="1">#REF!</definedName>
    <definedName name="__123Graph_DGERAL" localSheetId="18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8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8" hidden="1">#REF!</definedName>
    <definedName name="__123Graph_EPREVREALI" localSheetId="8" hidden="1">#REF!</definedName>
    <definedName name="__123Graph_EPREVREALI" hidden="1">#REF!</definedName>
    <definedName name="__123Graph_F" localSheetId="18" hidden="1">#REF!</definedName>
    <definedName name="__123Graph_F" localSheetId="8" hidden="1">#REF!</definedName>
    <definedName name="__123Graph_F" hidden="1">#REF!</definedName>
    <definedName name="__123Graph_FCDI" localSheetId="18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8" hidden="1">#REF!</definedName>
    <definedName name="__123Graph_FCOMPARA" localSheetId="8" hidden="1">#REF!</definedName>
    <definedName name="__123Graph_FCOMPARA" hidden="1">#REF!</definedName>
    <definedName name="__123Graph_FGERAL" localSheetId="18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8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8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2" hidden="1">'BD SUPRIMENTO'!$B$1:$R$165</definedName>
    <definedName name="_xlnm._FilterDatabase" localSheetId="3" hidden="1">BDCOVID!$A$1:$AH$497</definedName>
    <definedName name="_xlnm._FilterDatabase" localSheetId="26" hidden="1">'BD-NET'!$A$1:$P$172</definedName>
    <definedName name="_xlnm._FilterDatabase" localSheetId="6" hidden="1">CAPA!$A:$H</definedName>
    <definedName name="_xlnm._FilterDatabase" localSheetId="28" hidden="1">COEFICIENTES!$D$20:$M$124</definedName>
    <definedName name="_xlnm._FilterDatabase" localSheetId="14" hidden="1">CUSD!$A:$H</definedName>
    <definedName name="_xlnm._FilterDatabase" localSheetId="18" hidden="1">#REF!</definedName>
    <definedName name="_xlnm._FilterDatabase" localSheetId="11" hidden="1">Energia!$A:$H</definedName>
    <definedName name="_xlnm._FilterDatabase" localSheetId="4" hidden="1">Faturas!$AB$1:$AE$151</definedName>
    <definedName name="_xlnm._FilterDatabase" localSheetId="25" hidden="1">Índices!$B$6:$F$500</definedName>
    <definedName name="_xlnm._FilterDatabase" localSheetId="23" hidden="1">RA0BD!$A$1:$U$205</definedName>
    <definedName name="_xlnm._FilterDatabase" localSheetId="12" hidden="1">'Rede Básica + Ajuste'!$AA$17:$AA$60</definedName>
    <definedName name="_xlnm._FilterDatabase" localSheetId="24" hidden="1">SimuBD!$A$1:$N$27</definedName>
    <definedName name="_xlnm._FilterDatabase" localSheetId="0" hidden="1">Subsidio!$A$1:$J$52</definedName>
    <definedName name="_xlnm._FilterDatabase" localSheetId="8" hidden="1">'Tabelas e Gráficos'!$BJ$241:$BJ$259</definedName>
    <definedName name="_xlnm._FilterDatabase" hidden="1">#REF!</definedName>
    <definedName name="_FT08" hidden="1">"3OYHDJRF05V1IN1D1R6C32J5E"</definedName>
    <definedName name="_Key1" localSheetId="18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8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8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8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8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8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8" hidden="1">#REF!</definedName>
    <definedName name="BANCO1" localSheetId="8" hidden="1">#REF!</definedName>
    <definedName name="BANCO1" hidden="1">#REF!</definedName>
    <definedName name="bb" localSheetId="18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8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8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8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8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Gráficos'!$BA$241:$BI$248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CVA!$C$9:$E$17,CVA!$I$9:$I$9,CVA!$D$24:$D$32,CVA!$C$42,CVA!$C$46,CVA!$I$11:$I$14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8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Gráficos'!$AW$235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Financeiros!$D$24</definedName>
    <definedName name="LnkTXTAumfin">'Tabelas e Gráficos'!$AC$5</definedName>
    <definedName name="LnkTxtAvalEfeitoEnergia">'[10]Votos e NTs'!$BP$286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Gráficos'!$AQ$190</definedName>
    <definedName name="LnkTXTEnergia">CAPA!$C$102</definedName>
    <definedName name="LnkTXTER" localSheetId="8">Energia!$C$5</definedName>
    <definedName name="LnkTXTER">Energia!$C$5</definedName>
    <definedName name="LnkTXTERFIN">'Tabelas e Gráficos'!$AW$237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Gráficos'!$AW$210</definedName>
    <definedName name="LnkTXTIRTEC">'Tabelas e Gráficos'!$AW$204</definedName>
    <definedName name="LnkTXTIRTEco">Resultado!$C$7</definedName>
    <definedName name="LnkTXTIRTES">'Tabelas e Gráficos'!$AW$194</definedName>
    <definedName name="LnkTXTIRTFin" localSheetId="8">Resultado!$C$8</definedName>
    <definedName name="LnkTXTIRTParcelaA">'Tabelas e Gráficos'!$AW$212</definedName>
    <definedName name="LnkTXTIRTParcelaB">'Tabelas e Gráficos'!$AW$213</definedName>
    <definedName name="LnkTXTIRTTE">'Tabelas e Gráficos'!$AW$206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Gráficos'!$AX$212</definedName>
    <definedName name="LnkTXTPartParcelaB">'Tabelas e Gráficos'!$AX$213</definedName>
    <definedName name="LnkTXTPBeLimite">"CAPA!$K$24"</definedName>
    <definedName name="LnkTXTPBReq">CAPA!$K$31</definedName>
    <definedName name="LnkTXTPD">'Tabelas e Gráficos'!$Q$114</definedName>
    <definedName name="LNKTXTPercperdas">Energia!$M$14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Gráficos'!$AN$168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Financeiros!$D$26</definedName>
    <definedName name="LnkTxTSubvencaoCDE">Financeiros!$D$26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Gráficos'!$BH$248</definedName>
    <definedName name="LnkTXTTransporte">CAPA!$C$103</definedName>
    <definedName name="LnkTXTUNConsu">CAPA!$C$106</definedName>
    <definedName name="LnkTxtVarCDE">Resultado!$F$18</definedName>
    <definedName name="LnkTXTVarEC">'Tabelas e Gráficos'!$AV$204</definedName>
    <definedName name="LnkTXTVarES">'Tabelas e Gráficos'!$AV$194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Gráficos'!$AV$206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8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8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8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8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8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Gráficos'!$AM$164:$AN$183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Gráficos'!$AP$187:$AQ$190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Gráficos'!$BZ$278:$CA$280</definedName>
    <definedName name="TabPerdas">'Tabelas e Gráficos'!$P$111:$Q$114</definedName>
    <definedName name="TabPorcDesc">'Tabelas e Gráficos'!$BT$270:$BW$277</definedName>
    <definedName name="TabRA0">'Tabelas e Gráficos'!$E$59:$G$70</definedName>
    <definedName name="TabRB">'Tabelas e Gráficos'!$BK$250:$BM$259</definedName>
    <definedName name="TabResPB">'Tabelas e Gráficos'!$AH$74:$AK$87</definedName>
    <definedName name="TabResultados">'Tabelas e Gráficos'!$AS$193:$AX$239</definedName>
    <definedName name="TabResultadosNT">'Tabelas e Gráficos'!$AS$193:$AX$236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Gráficos'!$BA$241:$BH$248</definedName>
    <definedName name="TabSubsidios">'Tabelas e Gráficos'!$BO$261:$BR$268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8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8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8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8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2" r:id="rId48"/>
    <pivotCache cacheId="3" r:id="rId4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8" i="58" l="1"/>
  <c r="C19" i="58" l="1" a="1"/>
  <c r="C19" i="58" s="1"/>
  <c r="C42" i="50" l="1"/>
  <c r="C41" i="50"/>
  <c r="D78" i="58"/>
  <c r="K12" i="39" l="1"/>
  <c r="U38" i="25" l="1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I20" i="51"/>
  <c r="C12" i="51"/>
  <c r="C9" i="51"/>
  <c r="C49" i="58"/>
  <c r="V38" i="89"/>
  <c r="V39" i="89"/>
  <c r="K8" i="130" l="1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39" i="89"/>
  <c r="AM181" i="89" l="1"/>
  <c r="AS233" i="89" s="1"/>
  <c r="AM182" i="89"/>
  <c r="AS234" i="89" s="1"/>
  <c r="AN180" i="89"/>
  <c r="AU232" i="89" s="1"/>
  <c r="AM180" i="89"/>
  <c r="AS232" i="89" s="1"/>
  <c r="Q186" i="49" l="1"/>
  <c r="Q184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37" i="49"/>
  <c r="F137" i="49"/>
  <c r="G137" i="49"/>
  <c r="H137" i="49"/>
  <c r="I137" i="49"/>
  <c r="J137" i="49"/>
  <c r="K137" i="49"/>
  <c r="C138" i="49"/>
  <c r="F138" i="49"/>
  <c r="G138" i="49"/>
  <c r="H138" i="49"/>
  <c r="I138" i="49"/>
  <c r="J138" i="49"/>
  <c r="K138" i="49"/>
  <c r="C139" i="49"/>
  <c r="F139" i="49"/>
  <c r="G139" i="49"/>
  <c r="H139" i="49"/>
  <c r="I139" i="49"/>
  <c r="J139" i="49"/>
  <c r="K139" i="49"/>
  <c r="C140" i="49"/>
  <c r="F140" i="49"/>
  <c r="G140" i="49"/>
  <c r="H140" i="49"/>
  <c r="I140" i="49"/>
  <c r="J140" i="49"/>
  <c r="K140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F132" i="49"/>
  <c r="G132" i="49"/>
  <c r="H132" i="49"/>
  <c r="I132" i="49"/>
  <c r="J132" i="49"/>
  <c r="K132" i="49"/>
  <c r="G129" i="49"/>
  <c r="H129" i="49"/>
  <c r="I129" i="49"/>
  <c r="J129" i="49"/>
  <c r="K129" i="49"/>
  <c r="F129" i="49"/>
  <c r="F116" i="49"/>
  <c r="G116" i="49"/>
  <c r="H116" i="49"/>
  <c r="I116" i="49"/>
  <c r="J116" i="49"/>
  <c r="K116" i="49"/>
  <c r="F117" i="49"/>
  <c r="G117" i="49"/>
  <c r="H117" i="49"/>
  <c r="I117" i="49"/>
  <c r="J117" i="49"/>
  <c r="K117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G115" i="49"/>
  <c r="H115" i="49"/>
  <c r="I115" i="49"/>
  <c r="J115" i="49"/>
  <c r="K115" i="49"/>
  <c r="F115" i="49"/>
  <c r="C116" i="49"/>
  <c r="C115" i="49"/>
  <c r="Q112" i="49"/>
  <c r="Q111" i="49"/>
  <c r="C112" i="49"/>
  <c r="F112" i="49"/>
  <c r="G112" i="49"/>
  <c r="H112" i="49"/>
  <c r="I112" i="49"/>
  <c r="J112" i="49"/>
  <c r="K112" i="49"/>
  <c r="C113" i="49"/>
  <c r="F113" i="49"/>
  <c r="G113" i="49"/>
  <c r="H113" i="49"/>
  <c r="I113" i="49"/>
  <c r="J113" i="49"/>
  <c r="K113" i="49"/>
  <c r="C114" i="49"/>
  <c r="F114" i="49"/>
  <c r="G114" i="49"/>
  <c r="H114" i="49"/>
  <c r="I114" i="49"/>
  <c r="J114" i="49"/>
  <c r="K114" i="49"/>
  <c r="C111" i="49"/>
  <c r="F109" i="49"/>
  <c r="G109" i="49"/>
  <c r="H109" i="49"/>
  <c r="F110" i="49"/>
  <c r="G110" i="49"/>
  <c r="H110" i="49"/>
  <c r="F111" i="49"/>
  <c r="G111" i="49"/>
  <c r="H111" i="49"/>
  <c r="I110" i="49"/>
  <c r="J110" i="49"/>
  <c r="K110" i="49"/>
  <c r="I111" i="49"/>
  <c r="J111" i="49"/>
  <c r="K111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B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79" i="89" l="1"/>
  <c r="AM179" i="89"/>
  <c r="AS225" i="89" l="1"/>
  <c r="AS227" i="89"/>
  <c r="AS230" i="89"/>
  <c r="AS231" i="89"/>
  <c r="AU231" i="89"/>
  <c r="AO179" i="89"/>
  <c r="AO180" i="89"/>
  <c r="AN175" i="89"/>
  <c r="AU227" i="89" s="1"/>
  <c r="AN178" i="89"/>
  <c r="AU230" i="89" s="1"/>
  <c r="C18" i="50"/>
  <c r="E49" i="58" l="1"/>
  <c r="D49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J41" i="58"/>
  <c r="J40" i="58"/>
  <c r="J42" i="58"/>
  <c r="J43" i="58"/>
  <c r="J44" i="58"/>
  <c r="J45" i="58"/>
  <c r="L25" i="58" l="1"/>
  <c r="O48" i="49"/>
  <c r="O49" i="49"/>
  <c r="O50" i="49"/>
  <c r="O51" i="49"/>
  <c r="O47" i="49"/>
  <c r="J11" i="130"/>
  <c r="P266" i="49"/>
  <c r="P265" i="49"/>
  <c r="L48" i="49"/>
  <c r="L49" i="49"/>
  <c r="L50" i="49"/>
  <c r="L51" i="49"/>
  <c r="L47" i="49"/>
  <c r="C242" i="49" l="1"/>
  <c r="F242" i="49"/>
  <c r="G242" i="49"/>
  <c r="H242" i="49"/>
  <c r="I242" i="49"/>
  <c r="J242" i="49"/>
  <c r="Q245" i="49"/>
  <c r="P245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2" i="49"/>
  <c r="P252" i="49" s="1"/>
  <c r="Q251" i="49"/>
  <c r="P251" i="49" s="1"/>
  <c r="Q250" i="49"/>
  <c r="P250" i="49" s="1"/>
  <c r="Q249" i="49"/>
  <c r="P249" i="49" s="1"/>
  <c r="Q248" i="49"/>
  <c r="P248" i="49" s="1"/>
  <c r="Q247" i="49"/>
  <c r="P247" i="49" s="1"/>
  <c r="Q246" i="49"/>
  <c r="P246" i="49" s="1"/>
  <c r="Q244" i="49"/>
  <c r="P244" i="49" s="1"/>
  <c r="Q243" i="49"/>
  <c r="P243" i="49" s="1"/>
  <c r="C209" i="49"/>
  <c r="F209" i="49"/>
  <c r="G209" i="49"/>
  <c r="H209" i="49"/>
  <c r="I209" i="49"/>
  <c r="J209" i="49"/>
  <c r="K209" i="49"/>
  <c r="C210" i="49"/>
  <c r="F210" i="49"/>
  <c r="G210" i="49"/>
  <c r="H210" i="49"/>
  <c r="I210" i="49"/>
  <c r="J210" i="49"/>
  <c r="K210" i="49"/>
  <c r="C211" i="49"/>
  <c r="F211" i="49"/>
  <c r="G211" i="49"/>
  <c r="H211" i="49"/>
  <c r="I211" i="49"/>
  <c r="J211" i="49"/>
  <c r="K211" i="49"/>
  <c r="C212" i="49"/>
  <c r="F212" i="49"/>
  <c r="G212" i="49"/>
  <c r="H212" i="49"/>
  <c r="I212" i="49"/>
  <c r="J212" i="49"/>
  <c r="K212" i="49"/>
  <c r="C213" i="49"/>
  <c r="F213" i="49"/>
  <c r="G213" i="49"/>
  <c r="H213" i="49"/>
  <c r="I213" i="49"/>
  <c r="J213" i="49"/>
  <c r="K213" i="49"/>
  <c r="C214" i="49"/>
  <c r="F214" i="49"/>
  <c r="G214" i="49"/>
  <c r="H214" i="49"/>
  <c r="I214" i="49"/>
  <c r="J214" i="49"/>
  <c r="K214" i="49"/>
  <c r="C215" i="49"/>
  <c r="F215" i="49"/>
  <c r="G215" i="49"/>
  <c r="H215" i="49"/>
  <c r="I215" i="49"/>
  <c r="J215" i="49"/>
  <c r="K215" i="49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G208" i="49"/>
  <c r="H208" i="49"/>
  <c r="I208" i="49"/>
  <c r="J208" i="49"/>
  <c r="K208" i="49"/>
  <c r="F208" i="49"/>
  <c r="C208" i="49"/>
  <c r="D60" i="50"/>
  <c r="D59" i="50"/>
  <c r="D58" i="50"/>
  <c r="D51" i="50"/>
  <c r="D45" i="50"/>
  <c r="D43" i="50"/>
  <c r="D44" i="50"/>
  <c r="Q209" i="49" l="1"/>
  <c r="P209" i="49" s="1"/>
  <c r="C66" i="64"/>
  <c r="Q210" i="49"/>
  <c r="P210" i="49" s="1"/>
  <c r="C67" i="64"/>
  <c r="Q208" i="49"/>
  <c r="P208" i="49" s="1"/>
  <c r="C65" i="64"/>
  <c r="Q216" i="49"/>
  <c r="P216" i="49" s="1"/>
  <c r="C73" i="64"/>
  <c r="Q223" i="49"/>
  <c r="P223" i="49" s="1"/>
  <c r="C80" i="64"/>
  <c r="Q224" i="49"/>
  <c r="P224" i="49" s="1"/>
  <c r="C81" i="64"/>
  <c r="Q225" i="49"/>
  <c r="P225" i="49" s="1"/>
  <c r="C82" i="64"/>
  <c r="Q207" i="49"/>
  <c r="K54" i="58" l="1" a="1"/>
  <c r="K54" i="58" s="1"/>
  <c r="I54" i="58" a="1"/>
  <c r="I54" i="58" s="1"/>
  <c r="J49" i="58" a="1"/>
  <c r="J49" i="58" s="1"/>
  <c r="I49" i="58" a="1"/>
  <c r="I49" i="58" s="1"/>
  <c r="I50" i="58" s="1"/>
  <c r="I51" i="58" s="1"/>
  <c r="E51" i="58"/>
  <c r="D51" i="58" s="1"/>
  <c r="C51" i="58"/>
  <c r="E50" i="58"/>
  <c r="C50" i="58"/>
  <c r="J54" i="58" l="1"/>
  <c r="K49" i="58"/>
  <c r="C52" i="58"/>
  <c r="F50" i="58"/>
  <c r="F51" i="58"/>
  <c r="F49" i="58"/>
  <c r="C24" i="135"/>
  <c r="C32" i="135"/>
  <c r="C31" i="135"/>
  <c r="C30" i="135"/>
  <c r="C29" i="135"/>
  <c r="C28" i="135"/>
  <c r="C27" i="135"/>
  <c r="C26" i="135"/>
  <c r="C25" i="135"/>
  <c r="F52" i="58" l="1"/>
  <c r="B65" i="135"/>
  <c r="B64" i="135" s="1"/>
  <c r="I10" i="135"/>
  <c r="I3" i="135"/>
  <c r="I2" i="135"/>
  <c r="D33" i="135"/>
  <c r="S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S80" i="25" l="1"/>
  <c r="R28" i="135"/>
  <c r="B63" i="135"/>
  <c r="E33" i="135"/>
  <c r="C33" i="135"/>
  <c r="R26" i="135" l="1"/>
  <c r="B62" i="135"/>
  <c r="R24" i="135" l="1"/>
  <c r="B61" i="135"/>
  <c r="R22" i="135" l="1"/>
  <c r="B60" i="135"/>
  <c r="R20" i="135" l="1"/>
  <c r="B59" i="135"/>
  <c r="R18" i="135" l="1"/>
  <c r="B58" i="135"/>
  <c r="R16" i="135" l="1"/>
  <c r="B57" i="135"/>
  <c r="R14" i="135" l="1"/>
  <c r="B56" i="135"/>
  <c r="R12" i="135" l="1"/>
  <c r="B55" i="135"/>
  <c r="R10" i="135" l="1"/>
  <c r="B54" i="135"/>
  <c r="R8" i="135" l="1"/>
  <c r="R6" i="135" l="1"/>
  <c r="L15" i="64" l="1"/>
  <c r="L16" i="64"/>
  <c r="E28" i="123" l="1"/>
  <c r="A64" i="58" l="1"/>
  <c r="A65" i="58"/>
  <c r="A66" i="58"/>
  <c r="A67" i="58"/>
  <c r="A68" i="58"/>
  <c r="A69" i="58"/>
  <c r="I33" i="58" s="1"/>
  <c r="A70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Q80" i="25" l="1"/>
  <c r="O80" i="25"/>
  <c r="AU199" i="89" l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D10" i="131" s="1"/>
  <c r="C11" i="131"/>
  <c r="B14" i="131"/>
  <c r="D14" i="131" s="1"/>
  <c r="C15" i="131"/>
  <c r="B9" i="131"/>
  <c r="D9" i="131" s="1"/>
  <c r="C84" i="39"/>
  <c r="D12" i="131" l="1"/>
  <c r="D11" i="131"/>
  <c r="D13" i="131"/>
  <c r="D15" i="131"/>
  <c r="B17" i="131"/>
  <c r="D22" i="64"/>
  <c r="C17" i="131" l="1"/>
  <c r="Z138" i="89"/>
  <c r="C42" i="51" l="1"/>
  <c r="C46" i="51"/>
  <c r="C50" i="51"/>
  <c r="C43" i="51"/>
  <c r="C47" i="51"/>
  <c r="C51" i="51"/>
  <c r="C44" i="51"/>
  <c r="C48" i="51"/>
  <c r="C52" i="51"/>
  <c r="C45" i="51"/>
  <c r="C49" i="51"/>
  <c r="C41" i="51"/>
  <c r="C19" i="13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G10" i="131" s="1"/>
  <c r="C16" i="39"/>
  <c r="G11" i="131" l="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H13" i="131" l="1"/>
  <c r="H15" i="131"/>
  <c r="H14" i="131"/>
  <c r="H9" i="131"/>
  <c r="J11" i="131"/>
  <c r="H11" i="131"/>
  <c r="H12" i="131"/>
  <c r="J15" i="131"/>
  <c r="J13" i="131"/>
  <c r="J14" i="131"/>
  <c r="J10" i="131"/>
  <c r="J12" i="131"/>
  <c r="R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J9" i="131" l="1"/>
  <c r="J17" i="131" s="1"/>
  <c r="D33" i="50" s="1"/>
  <c r="AN173" i="89" s="1"/>
  <c r="AU225" i="89" s="1"/>
  <c r="H17" i="131"/>
  <c r="M7" i="123"/>
  <c r="O38" i="89" l="1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56" i="58"/>
  <c r="C58" i="58" l="1"/>
  <c r="F56" i="58"/>
  <c r="M32" i="39"/>
  <c r="H54" i="58"/>
  <c r="H33" i="58"/>
  <c r="H34" i="58"/>
  <c r="E33" i="58"/>
  <c r="E34" i="58"/>
  <c r="F33" i="58"/>
  <c r="F34" i="58"/>
  <c r="V33" i="58" l="1"/>
  <c r="U31" i="58" l="1"/>
  <c r="U30" i="58"/>
  <c r="U29" i="58"/>
  <c r="Q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50" i="58"/>
  <c r="D50" i="58"/>
  <c r="C264" i="49" l="1"/>
  <c r="C263" i="49"/>
  <c r="C262" i="49"/>
  <c r="C261" i="49"/>
  <c r="J51" i="58"/>
  <c r="K51" i="58" s="1"/>
  <c r="K52" i="58" l="1"/>
  <c r="D34" i="50" s="1"/>
  <c r="F45" i="58" l="1"/>
  <c r="E45" i="58"/>
  <c r="F44" i="58"/>
  <c r="E44" i="58"/>
  <c r="F43" i="58"/>
  <c r="E43" i="58"/>
  <c r="K43" i="58" s="1"/>
  <c r="L43" i="58" s="1"/>
  <c r="F42" i="58"/>
  <c r="E42" i="58"/>
  <c r="F41" i="58"/>
  <c r="E41" i="58"/>
  <c r="K41" i="58" s="1"/>
  <c r="K44" i="58" l="1"/>
  <c r="L44" i="58" s="1"/>
  <c r="L41" i="58"/>
  <c r="K42" i="58"/>
  <c r="L42" i="58" s="1"/>
  <c r="K45" i="58"/>
  <c r="L45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04" i="49" l="1"/>
  <c r="Q105" i="49"/>
  <c r="Q106" i="49"/>
  <c r="Q107" i="49"/>
  <c r="Q110" i="49"/>
  <c r="C105" i="49"/>
  <c r="C106" i="49"/>
  <c r="C107" i="49"/>
  <c r="C108" i="49"/>
  <c r="C109" i="49"/>
  <c r="C110" i="49"/>
  <c r="F103" i="49"/>
  <c r="G103" i="49"/>
  <c r="H103" i="49"/>
  <c r="I103" i="49"/>
  <c r="J103" i="49"/>
  <c r="K103" i="49"/>
  <c r="F104" i="49"/>
  <c r="G104" i="49"/>
  <c r="H104" i="49"/>
  <c r="I104" i="49"/>
  <c r="J104" i="49"/>
  <c r="K104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I109" i="49"/>
  <c r="J109" i="49"/>
  <c r="K109" i="49"/>
  <c r="G102" i="49"/>
  <c r="H102" i="49"/>
  <c r="I102" i="49"/>
  <c r="J102" i="49"/>
  <c r="K102" i="49"/>
  <c r="F102" i="49"/>
  <c r="F58" i="58" l="1"/>
  <c r="D56" i="58"/>
  <c r="H7" i="61"/>
  <c r="H8" i="61"/>
  <c r="H9" i="61"/>
  <c r="H10" i="61"/>
  <c r="H11" i="61"/>
  <c r="H12" i="61"/>
  <c r="H13" i="61"/>
  <c r="H14" i="61"/>
  <c r="H15" i="61"/>
  <c r="H16" i="61"/>
  <c r="H17" i="61"/>
  <c r="Q101" i="49" l="1"/>
  <c r="P101" i="49" s="1"/>
  <c r="P105" i="49"/>
  <c r="P106" i="49"/>
  <c r="P107" i="49"/>
  <c r="P110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2" i="49"/>
  <c r="G92" i="49"/>
  <c r="H92" i="49"/>
  <c r="I92" i="49"/>
  <c r="J92" i="49"/>
  <c r="K92" i="49"/>
  <c r="F93" i="49"/>
  <c r="G93" i="49"/>
  <c r="H93" i="49"/>
  <c r="I93" i="49"/>
  <c r="J93" i="49"/>
  <c r="K93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8" i="49"/>
  <c r="G98" i="49"/>
  <c r="H98" i="49"/>
  <c r="I98" i="49"/>
  <c r="J98" i="49"/>
  <c r="K98" i="49"/>
  <c r="F99" i="49"/>
  <c r="G99" i="49"/>
  <c r="H99" i="49"/>
  <c r="I99" i="49"/>
  <c r="J99" i="49"/>
  <c r="K99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2" i="49" l="1"/>
  <c r="C103" i="49"/>
  <c r="C133" i="49"/>
  <c r="C134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4" i="89"/>
  <c r="AS226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L24" i="58" l="1"/>
  <c r="J39" i="58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46" i="58" l="1"/>
  <c r="L29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J216" i="122" l="1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190" i="89" l="1"/>
  <c r="AQ189" i="89"/>
  <c r="AQ188" i="89"/>
  <c r="BA243" i="89"/>
  <c r="BA244" i="89"/>
  <c r="BA245" i="89"/>
  <c r="BA246" i="89"/>
  <c r="BA247" i="89"/>
  <c r="BA242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8" i="89" l="1"/>
  <c r="F6" i="123"/>
  <c r="M6" i="123" s="1"/>
  <c r="BQ263" i="89" s="1"/>
  <c r="BG243" i="89" s="1"/>
  <c r="BQ264" i="89"/>
  <c r="BG244" i="89" s="1"/>
  <c r="F8" i="123"/>
  <c r="M8" i="123" s="1"/>
  <c r="BQ265" i="89" s="1"/>
  <c r="BG245" i="89" s="1"/>
  <c r="F9" i="123"/>
  <c r="M9" i="123" s="1"/>
  <c r="BQ266" i="89" s="1"/>
  <c r="BG246" i="89" s="1"/>
  <c r="F10" i="123"/>
  <c r="M10" i="123" s="1"/>
  <c r="BQ267" i="89" s="1"/>
  <c r="BG247" i="89" s="1"/>
  <c r="F5" i="123"/>
  <c r="M5" i="123" s="1"/>
  <c r="BQ262" i="89" s="1"/>
  <c r="N4" i="123"/>
  <c r="BQ268" i="89" l="1"/>
  <c r="BG242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19" i="89"/>
  <c r="AM176" i="89"/>
  <c r="AS228" i="89" s="1"/>
  <c r="AN176" i="89"/>
  <c r="AO173" i="89"/>
  <c r="AO175" i="89"/>
  <c r="AO176" i="89" l="1"/>
  <c r="AU228" i="89"/>
  <c r="F18" i="51"/>
  <c r="F15" i="51"/>
  <c r="F14" i="51"/>
  <c r="BU272" i="89" l="1"/>
  <c r="BU273" i="89"/>
  <c r="BU274" i="89"/>
  <c r="BU275" i="89"/>
  <c r="BU276" i="89"/>
  <c r="BU277" i="89"/>
  <c r="BU271" i="89"/>
  <c r="BT272" i="89"/>
  <c r="BT273" i="89"/>
  <c r="BT274" i="89"/>
  <c r="BT275" i="89"/>
  <c r="BT276" i="89"/>
  <c r="BT277" i="89"/>
  <c r="BT271" i="89"/>
  <c r="H41" i="39" l="1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1" i="89" l="1"/>
  <c r="AS223" i="89" s="1"/>
  <c r="AM172" i="89"/>
  <c r="AS224" i="89" s="1"/>
  <c r="AM177" i="89"/>
  <c r="AS229" i="89" s="1"/>
  <c r="AN177" i="89"/>
  <c r="AM170" i="89"/>
  <c r="AS222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7" i="89" l="1"/>
  <c r="AU229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Q3" i="39" l="1"/>
  <c r="P3" i="39"/>
  <c r="O3" i="39" s="1"/>
  <c r="K10" i="39" l="1"/>
  <c r="G22" i="25"/>
  <c r="D53" i="123" l="1"/>
  <c r="C83" i="49"/>
  <c r="C84" i="49"/>
  <c r="C92" i="49"/>
  <c r="C93" i="49"/>
  <c r="C94" i="49"/>
  <c r="C95" i="49"/>
  <c r="C96" i="49"/>
  <c r="C97" i="49"/>
  <c r="C98" i="49"/>
  <c r="C99" i="49"/>
  <c r="C100" i="49"/>
  <c r="C101" i="49"/>
  <c r="C104" i="49"/>
  <c r="C82" i="49"/>
  <c r="Q90" i="49"/>
  <c r="Q94" i="49"/>
  <c r="Q95" i="49"/>
  <c r="F83" i="49"/>
  <c r="G83" i="49"/>
  <c r="H83" i="49"/>
  <c r="I83" i="49"/>
  <c r="J83" i="49"/>
  <c r="K83" i="49"/>
  <c r="G18" i="123" l="1"/>
  <c r="K18" i="123"/>
  <c r="O18" i="123"/>
  <c r="O23" i="123" s="1"/>
  <c r="H18" i="123"/>
  <c r="L18" i="123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L23" i="123"/>
  <c r="K23" i="123"/>
  <c r="AS217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K27" i="51" l="1"/>
  <c r="D14" i="50" l="1"/>
  <c r="Q87" i="49" s="1"/>
  <c r="C10" i="39"/>
  <c r="N25" i="78" l="1"/>
  <c r="L15" i="58" l="1"/>
  <c r="J90" i="89" l="1"/>
  <c r="BG241" i="89" l="1"/>
  <c r="BH241" i="89"/>
  <c r="B40" i="39" l="1"/>
  <c r="L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8" i="89" l="1"/>
  <c r="AS220" i="89" s="1"/>
  <c r="M23" i="50" l="1"/>
  <c r="BY273" i="89" l="1"/>
  <c r="N14" i="78"/>
  <c r="N13" i="78"/>
  <c r="N12" i="78"/>
  <c r="N11" i="78"/>
  <c r="N10" i="78"/>
  <c r="N9" i="78"/>
  <c r="N8" i="78"/>
  <c r="S6" i="78" l="1"/>
  <c r="S8" i="78"/>
  <c r="C33" i="95" l="1"/>
  <c r="C32" i="95"/>
  <c r="BB241" i="89" l="1"/>
  <c r="BC241" i="89"/>
  <c r="BI241" i="89"/>
  <c r="P183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L39" i="89" l="1"/>
  <c r="AM169" i="89"/>
  <c r="AS221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58" i="89"/>
  <c r="BN258" i="89" s="1"/>
  <c r="BL258" i="89"/>
  <c r="BN256" i="89"/>
  <c r="BN255" i="89"/>
  <c r="BN254" i="89"/>
  <c r="BN253" i="89"/>
  <c r="AS210" i="89"/>
  <c r="AS209" i="89"/>
  <c r="AS208" i="89"/>
  <c r="AS207" i="89"/>
  <c r="AU196" i="89"/>
  <c r="AV196" i="89" s="1"/>
  <c r="AU195" i="89"/>
  <c r="AV195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03" i="89" s="1"/>
  <c r="I82" i="89"/>
  <c r="AS202" i="89" s="1"/>
  <c r="I81" i="89"/>
  <c r="AS201" i="89" s="1"/>
  <c r="I80" i="89"/>
  <c r="AS200" i="89" s="1"/>
  <c r="I78" i="89"/>
  <c r="AS198" i="89" s="1"/>
  <c r="I77" i="89"/>
  <c r="AS197" i="89" s="1"/>
  <c r="I76" i="89"/>
  <c r="AS196" i="89" s="1"/>
  <c r="I75" i="89"/>
  <c r="AS195" i="89" s="1"/>
  <c r="Q36" i="89"/>
  <c r="L14" i="89"/>
  <c r="AS218" i="89"/>
  <c r="AY215" i="89"/>
  <c r="AT196" i="89"/>
  <c r="L76" i="89"/>
  <c r="J75" i="89"/>
  <c r="AT195" i="89" s="1"/>
  <c r="L75" i="89" l="1"/>
  <c r="Q29" i="49" l="1"/>
  <c r="Q28" i="49"/>
  <c r="Q27" i="49"/>
  <c r="B2" i="25" l="1"/>
  <c r="Q195" i="49" l="1"/>
  <c r="P195" i="49" s="1"/>
  <c r="Q197" i="49"/>
  <c r="P197" i="49" s="1"/>
  <c r="Q200" i="49"/>
  <c r="P200" i="49" s="1"/>
  <c r="Q196" i="49"/>
  <c r="P196" i="49" s="1"/>
  <c r="Q199" i="49"/>
  <c r="P199" i="49" s="1"/>
  <c r="Q198" i="49"/>
  <c r="P198" i="49" s="1"/>
  <c r="C91" i="39"/>
  <c r="T39" i="89" l="1"/>
  <c r="U39" i="89"/>
  <c r="L7" i="64" s="1"/>
  <c r="M39" i="89"/>
  <c r="S39" i="89"/>
  <c r="P36" i="89"/>
  <c r="I3" i="61"/>
  <c r="R39" i="89"/>
  <c r="Q188" i="49"/>
  <c r="C88" i="39"/>
  <c r="C83" i="39"/>
  <c r="C89" i="39"/>
  <c r="O39" i="89"/>
  <c r="N39" i="89"/>
  <c r="Q39" i="89"/>
  <c r="P39" i="89"/>
  <c r="Q182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60" i="89"/>
  <c r="BG248" i="89"/>
  <c r="W39" i="89" l="1"/>
  <c r="M42" i="89"/>
  <c r="G3" i="61"/>
  <c r="J11" i="61" s="1"/>
  <c r="M41" i="89"/>
  <c r="V40" i="89"/>
  <c r="U40" i="89"/>
  <c r="M40" i="89"/>
  <c r="S40" i="89"/>
  <c r="R40" i="89"/>
  <c r="T40" i="89"/>
  <c r="J9" i="61"/>
  <c r="J6" i="61"/>
  <c r="O40" i="89"/>
  <c r="N40" i="89"/>
  <c r="Q40" i="89"/>
  <c r="P40" i="89"/>
  <c r="C120" i="39"/>
  <c r="C92" i="39"/>
  <c r="G42" i="51"/>
  <c r="G41" i="51"/>
  <c r="AC140" i="89"/>
  <c r="B9" i="64"/>
  <c r="B7" i="64"/>
  <c r="P182" i="49"/>
  <c r="C7" i="95"/>
  <c r="AI149" i="89"/>
  <c r="AI153" i="89"/>
  <c r="AI152" i="89"/>
  <c r="AI151" i="89"/>
  <c r="AI148" i="89"/>
  <c r="AI147" i="89"/>
  <c r="AI150" i="89"/>
  <c r="B2" i="78"/>
  <c r="J16" i="61" l="1"/>
  <c r="AJ156" i="89" s="1"/>
  <c r="AK156" i="89" s="1"/>
  <c r="J21" i="6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AS236" i="89"/>
  <c r="B56" i="89"/>
  <c r="AS214" i="89"/>
  <c r="B54" i="89"/>
  <c r="BB243" i="89"/>
  <c r="BB247" i="89"/>
  <c r="BB244" i="89"/>
  <c r="BB242" i="89"/>
  <c r="BB245" i="89"/>
  <c r="BB246" i="89"/>
  <c r="AI161" i="89"/>
  <c r="C3" i="61" l="1"/>
  <c r="BB248" i="89"/>
  <c r="P207" i="4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0" i="49"/>
  <c r="Q169" i="4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1" i="51"/>
  <c r="F7" i="51"/>
  <c r="F8" i="5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45" i="51"/>
  <c r="D49" i="51"/>
  <c r="D41" i="51"/>
  <c r="D42" i="51"/>
  <c r="D46" i="51"/>
  <c r="D50" i="51"/>
  <c r="D43" i="51"/>
  <c r="D47" i="51"/>
  <c r="D51" i="51"/>
  <c r="D44" i="51"/>
  <c r="D48" i="51"/>
  <c r="D52" i="51"/>
  <c r="F44" i="51"/>
  <c r="F48" i="51"/>
  <c r="F52" i="51"/>
  <c r="F45" i="51"/>
  <c r="F49" i="51"/>
  <c r="F42" i="51"/>
  <c r="F46" i="51"/>
  <c r="F50" i="51"/>
  <c r="F43" i="51"/>
  <c r="F47" i="51"/>
  <c r="F51" i="51"/>
  <c r="G47" i="51"/>
  <c r="G51" i="51"/>
  <c r="G44" i="51"/>
  <c r="G48" i="51"/>
  <c r="G52" i="51"/>
  <c r="G45" i="51"/>
  <c r="G49" i="51"/>
  <c r="G43" i="51"/>
  <c r="G46" i="51"/>
  <c r="G50" i="51"/>
  <c r="E44" i="51"/>
  <c r="E48" i="51"/>
  <c r="E52" i="51"/>
  <c r="E45" i="51"/>
  <c r="E49" i="51"/>
  <c r="E41" i="51"/>
  <c r="E42" i="51"/>
  <c r="E46" i="51"/>
  <c r="E50" i="51"/>
  <c r="E43" i="51"/>
  <c r="E47" i="51"/>
  <c r="E51" i="51"/>
  <c r="C97" i="39"/>
  <c r="L220" i="82" l="1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H41" i="51"/>
  <c r="H49" i="51"/>
  <c r="H44" i="51"/>
  <c r="H50" i="51"/>
  <c r="H45" i="51"/>
  <c r="H43" i="51"/>
  <c r="H48" i="51"/>
  <c r="H51" i="51"/>
  <c r="H46" i="51"/>
  <c r="H47" i="51"/>
  <c r="H42" i="51"/>
  <c r="H52" i="51"/>
  <c r="L221" i="82" l="1"/>
  <c r="M221" i="82"/>
  <c r="M207" i="82"/>
  <c r="E200" i="82" s="1"/>
  <c r="L207" i="82"/>
  <c r="N192" i="82"/>
  <c r="D185" i="82"/>
  <c r="N206" i="82"/>
  <c r="G222" i="82"/>
  <c r="N220" i="82"/>
  <c r="BY277" i="89"/>
  <c r="BY276" i="89"/>
  <c r="BY271" i="89"/>
  <c r="BY274" i="89"/>
  <c r="BY275" i="89"/>
  <c r="BY272" i="89"/>
  <c r="L222" i="82" l="1"/>
  <c r="M222" i="82"/>
  <c r="E215" i="82" s="1"/>
  <c r="N221" i="82"/>
  <c r="N207" i="82"/>
  <c r="D200" i="82"/>
  <c r="N222" i="82" l="1"/>
  <c r="D215" i="82"/>
  <c r="E94" i="39"/>
  <c r="E95" i="39"/>
  <c r="C95" i="39" l="1"/>
  <c r="G50009" i="84" l="1"/>
  <c r="D35" i="58" l="1"/>
  <c r="D79" i="58" s="1"/>
  <c r="E79" i="58" s="1"/>
  <c r="R718" i="84" l="1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66" i="49" l="1"/>
  <c r="Q147" i="49"/>
  <c r="P147" i="49" s="1"/>
  <c r="C136" i="49"/>
  <c r="C135" i="49"/>
  <c r="C132" i="49"/>
  <c r="C131" i="49"/>
  <c r="C130" i="49"/>
  <c r="C129" i="49"/>
  <c r="C128" i="49"/>
  <c r="C127" i="49"/>
  <c r="C126" i="49"/>
  <c r="C125" i="49"/>
  <c r="C124" i="49"/>
  <c r="P95" i="49"/>
  <c r="Q57" i="49"/>
  <c r="P57" i="49" s="1"/>
  <c r="P30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186" i="49"/>
  <c r="P168" i="49"/>
  <c r="P167" i="49"/>
  <c r="P149" i="49"/>
  <c r="M49" i="25" l="1"/>
  <c r="B48" i="25"/>
  <c r="C22" i="25"/>
  <c r="H14" i="25"/>
  <c r="I14" i="25" s="1"/>
  <c r="J14" i="25" s="1"/>
  <c r="O22" i="50"/>
  <c r="M22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K39" i="58" s="1"/>
  <c r="L39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280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00" i="89"/>
  <c r="AU203" i="89"/>
  <c r="AV203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18" i="49"/>
  <c r="P1718" i="49" s="1"/>
  <c r="Q1719" i="49"/>
  <c r="P1719" i="49" s="1"/>
  <c r="B79" i="25"/>
  <c r="R79" i="25" s="1"/>
  <c r="B52" i="51"/>
  <c r="B67" i="51" s="1"/>
  <c r="Q41" i="49"/>
  <c r="P41" i="49" s="1"/>
  <c r="Q16" i="49"/>
  <c r="Q12" i="49"/>
  <c r="P12" i="49" s="1"/>
  <c r="F16" i="64"/>
  <c r="Q19" i="49"/>
  <c r="P19" i="49" s="1"/>
  <c r="Q146" i="49"/>
  <c r="P146" i="49" s="1"/>
  <c r="Q165" i="49"/>
  <c r="P165" i="49" s="1"/>
  <c r="C121" i="49"/>
  <c r="C122" i="49"/>
  <c r="C118" i="49"/>
  <c r="C119" i="49"/>
  <c r="C120" i="49"/>
  <c r="Q15" i="49"/>
  <c r="Q11" i="49"/>
  <c r="P11" i="49" s="1"/>
  <c r="C117" i="49"/>
  <c r="C123" i="49"/>
  <c r="K14" i="39"/>
  <c r="K16" i="39" s="1"/>
  <c r="K15" i="39"/>
  <c r="B47" i="25"/>
  <c r="F47" i="25" s="1"/>
  <c r="F15" i="64"/>
  <c r="G11" i="87"/>
  <c r="G15" i="25"/>
  <c r="G17" i="25" s="1"/>
  <c r="H13" i="25"/>
  <c r="D41" i="50" l="1"/>
  <c r="Q50" i="49"/>
  <c r="H31" i="58"/>
  <c r="Q51" i="49"/>
  <c r="H32" i="58"/>
  <c r="K9" i="130"/>
  <c r="P22" i="78"/>
  <c r="G77" i="39"/>
  <c r="O48" i="25" s="1"/>
  <c r="P48" i="25" s="1"/>
  <c r="T79" i="25"/>
  <c r="P79" i="25"/>
  <c r="H77" i="39"/>
  <c r="D77" i="39"/>
  <c r="Q48" i="25" s="1"/>
  <c r="R48" i="25" s="1"/>
  <c r="H29" i="58"/>
  <c r="K40" i="58" s="1"/>
  <c r="L40" i="58" s="1"/>
  <c r="E2" i="121"/>
  <c r="F2" i="121" s="1"/>
  <c r="C77" i="39"/>
  <c r="C48" i="25" s="1"/>
  <c r="D48" i="25" s="1"/>
  <c r="E77" i="39"/>
  <c r="G48" i="25" s="1"/>
  <c r="H48" i="25" s="1"/>
  <c r="B36" i="51"/>
  <c r="F55" i="71"/>
  <c r="L3" i="130"/>
  <c r="L5" i="130" s="1"/>
  <c r="M3" i="130"/>
  <c r="M5" i="130" s="1"/>
  <c r="BV271" i="89"/>
  <c r="H42" i="39"/>
  <c r="Q78" i="49"/>
  <c r="P78" i="49" s="1"/>
  <c r="F3" i="121"/>
  <c r="BW274" i="89"/>
  <c r="BV274" i="89"/>
  <c r="BV272" i="89"/>
  <c r="BV277" i="89"/>
  <c r="BW275" i="89"/>
  <c r="BV275" i="89"/>
  <c r="BV273" i="89"/>
  <c r="BV276" i="89"/>
  <c r="P15" i="49"/>
  <c r="P16" i="49"/>
  <c r="C28" i="95"/>
  <c r="Q5" i="49"/>
  <c r="P5" i="49" s="1"/>
  <c r="L40" i="89"/>
  <c r="B76" i="39"/>
  <c r="G76" i="39" s="1"/>
  <c r="B78" i="25"/>
  <c r="T78" i="25" s="1"/>
  <c r="B51" i="51"/>
  <c r="B66" i="51" s="1"/>
  <c r="Q4" i="49"/>
  <c r="P4" i="49" s="1"/>
  <c r="Q2" i="49"/>
  <c r="P2" i="49" s="1"/>
  <c r="K17" i="39"/>
  <c r="E16" i="87"/>
  <c r="E21" i="87" s="1"/>
  <c r="D31" i="64" s="1"/>
  <c r="C21" i="87"/>
  <c r="I13" i="25"/>
  <c r="H15" i="25"/>
  <c r="H17" i="25" s="1"/>
  <c r="D42" i="50" s="1"/>
  <c r="B46" i="25"/>
  <c r="AN182" i="89" l="1"/>
  <c r="Q114" i="49"/>
  <c r="C64" i="64"/>
  <c r="C63" i="64"/>
  <c r="AN181" i="89"/>
  <c r="AU233" i="89" s="1"/>
  <c r="Q113" i="49"/>
  <c r="P20" i="78"/>
  <c r="H76" i="39"/>
  <c r="O47" i="25"/>
  <c r="P47" i="25" s="1"/>
  <c r="B35" i="51"/>
  <c r="R78" i="25"/>
  <c r="P78" i="25"/>
  <c r="H30" i="58"/>
  <c r="Q49" i="49"/>
  <c r="BW273" i="89"/>
  <c r="BW272" i="89"/>
  <c r="S31" i="58"/>
  <c r="T31" i="58" s="1"/>
  <c r="V31" i="58" s="1"/>
  <c r="S30" i="58"/>
  <c r="T30" i="58" s="1"/>
  <c r="V30" i="58" s="1"/>
  <c r="C76" i="39"/>
  <c r="C47" i="25" s="1"/>
  <c r="D47" i="25" s="1"/>
  <c r="E76" i="39"/>
  <c r="G47" i="25" s="1"/>
  <c r="H47" i="25" s="1"/>
  <c r="D76" i="39"/>
  <c r="F54" i="71"/>
  <c r="BW271" i="89"/>
  <c r="F46" i="25"/>
  <c r="Q79" i="49"/>
  <c r="P79" i="49" s="1"/>
  <c r="CA279" i="89"/>
  <c r="CA278" i="89" s="1"/>
  <c r="P51" i="49"/>
  <c r="X133" i="89"/>
  <c r="BW276" i="89"/>
  <c r="BW277" i="89"/>
  <c r="Q180" i="49"/>
  <c r="Q177" i="49"/>
  <c r="AC6" i="89"/>
  <c r="BM257" i="89"/>
  <c r="BN257" i="89" s="1"/>
  <c r="AU209" i="89"/>
  <c r="Q25" i="49"/>
  <c r="P25" i="49" s="1"/>
  <c r="B75" i="39"/>
  <c r="B77" i="25"/>
  <c r="T77" i="25" s="1"/>
  <c r="B50" i="51"/>
  <c r="B65" i="51" s="1"/>
  <c r="Q3" i="49"/>
  <c r="P3" i="49" s="1"/>
  <c r="M11" i="25"/>
  <c r="M10" i="25"/>
  <c r="J13" i="25"/>
  <c r="J15" i="25" s="1"/>
  <c r="J17" i="25" s="1"/>
  <c r="I15" i="25"/>
  <c r="I17" i="25" s="1"/>
  <c r="B45" i="25"/>
  <c r="P29" i="49"/>
  <c r="AO182" i="89" l="1"/>
  <c r="AU234" i="89"/>
  <c r="AO181" i="89"/>
  <c r="P18" i="78"/>
  <c r="G75" i="39"/>
  <c r="O46" i="25" s="1"/>
  <c r="P46" i="25" s="1"/>
  <c r="B34" i="51"/>
  <c r="R77" i="25"/>
  <c r="P77" i="25"/>
  <c r="Q47" i="25"/>
  <c r="R47" i="25" s="1"/>
  <c r="E75" i="39"/>
  <c r="G46" i="25" s="1"/>
  <c r="H46" i="25" s="1"/>
  <c r="D75" i="39"/>
  <c r="Q46" i="25" s="1"/>
  <c r="R46" i="25" s="1"/>
  <c r="C75" i="39"/>
  <c r="C46" i="25" s="1"/>
  <c r="D46" i="25" s="1"/>
  <c r="F53" i="71"/>
  <c r="F45" i="25"/>
  <c r="H75" i="39"/>
  <c r="AD5" i="89"/>
  <c r="C31" i="95"/>
  <c r="C34" i="9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07" i="89"/>
  <c r="BM251" i="89"/>
  <c r="BN251" i="89" s="1"/>
  <c r="B74" i="39"/>
  <c r="I17" i="78"/>
  <c r="Q23" i="49"/>
  <c r="P23" i="49" s="1"/>
  <c r="B76" i="25"/>
  <c r="T76" i="25" s="1"/>
  <c r="B49" i="51"/>
  <c r="B64" i="51" s="1"/>
  <c r="F416" i="7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0" i="49"/>
  <c r="C105" i="39"/>
  <c r="B44" i="25"/>
  <c r="T42" i="89" l="1"/>
  <c r="U42" i="89" s="1"/>
  <c r="V42" i="89" s="1"/>
  <c r="W42" i="89" s="1"/>
  <c r="U41" i="89"/>
  <c r="P16" i="78"/>
  <c r="G74" i="39"/>
  <c r="O45" i="25" s="1"/>
  <c r="P45" i="25" s="1"/>
  <c r="B33" i="51"/>
  <c r="P76" i="25"/>
  <c r="R76" i="25"/>
  <c r="D74" i="39"/>
  <c r="Q45" i="25" s="1"/>
  <c r="R45" i="25" s="1"/>
  <c r="C74" i="39"/>
  <c r="C45" i="25" s="1"/>
  <c r="D45" i="25" s="1"/>
  <c r="E74" i="39"/>
  <c r="G45" i="25" s="1"/>
  <c r="H45" i="25" s="1"/>
  <c r="F52" i="71"/>
  <c r="F44" i="25"/>
  <c r="H74" i="39"/>
  <c r="Q46" i="49"/>
  <c r="P46" i="49" s="1"/>
  <c r="N47" i="25"/>
  <c r="B73" i="39"/>
  <c r="N46" i="25"/>
  <c r="N45" i="25"/>
  <c r="N48" i="25"/>
  <c r="B75" i="25"/>
  <c r="T75" i="25" s="1"/>
  <c r="B48" i="51"/>
  <c r="B63" i="51" s="1"/>
  <c r="F15" i="25"/>
  <c r="F17" i="25" s="1"/>
  <c r="P169" i="49"/>
  <c r="B43" i="25"/>
  <c r="N44" i="25"/>
  <c r="V41" i="89" l="1"/>
  <c r="W41" i="89" s="1"/>
  <c r="P14" i="78"/>
  <c r="G73" i="39"/>
  <c r="O44" i="25" s="1"/>
  <c r="P44" i="25" s="1"/>
  <c r="B32" i="51"/>
  <c r="P75" i="25"/>
  <c r="R75" i="25"/>
  <c r="AY238" i="89"/>
  <c r="AB139" i="89"/>
  <c r="D73" i="39"/>
  <c r="Q44" i="25" s="1"/>
  <c r="R44" i="25" s="1"/>
  <c r="C73" i="39"/>
  <c r="C44" i="25" s="1"/>
  <c r="D44" i="25" s="1"/>
  <c r="E73" i="39"/>
  <c r="G44" i="25" s="1"/>
  <c r="H44" i="25" s="1"/>
  <c r="F51" i="71"/>
  <c r="F43" i="25"/>
  <c r="H73" i="39"/>
  <c r="AD6" i="89"/>
  <c r="F19" i="25"/>
  <c r="B72" i="39"/>
  <c r="B74" i="25"/>
  <c r="T74" i="25" s="1"/>
  <c r="B47" i="51"/>
  <c r="B62" i="51" s="1"/>
  <c r="B42" i="25"/>
  <c r="N43" i="25"/>
  <c r="P12" i="78" l="1"/>
  <c r="G72" i="39"/>
  <c r="O43" i="25" s="1"/>
  <c r="P43" i="25" s="1"/>
  <c r="B31" i="51"/>
  <c r="R74" i="25"/>
  <c r="P74" i="25"/>
  <c r="D72" i="39"/>
  <c r="Q43" i="25" s="1"/>
  <c r="R43" i="25" s="1"/>
  <c r="C72" i="39"/>
  <c r="C43" i="25" s="1"/>
  <c r="D43" i="25" s="1"/>
  <c r="E72" i="39"/>
  <c r="G43" i="25" s="1"/>
  <c r="H43" i="25" s="1"/>
  <c r="F50" i="71"/>
  <c r="F42" i="25"/>
  <c r="AU220" i="89"/>
  <c r="AO168" i="89"/>
  <c r="H72" i="39"/>
  <c r="AE6" i="89"/>
  <c r="AE5" i="89" s="1"/>
  <c r="K48" i="25"/>
  <c r="L48" i="25" s="1"/>
  <c r="E55" i="71" s="1"/>
  <c r="F20" i="25"/>
  <c r="B71" i="39"/>
  <c r="B73" i="25"/>
  <c r="T73" i="25" s="1"/>
  <c r="B46" i="51"/>
  <c r="B61" i="51" s="1"/>
  <c r="B41" i="25"/>
  <c r="N42" i="25"/>
  <c r="P10" i="78" l="1"/>
  <c r="G71" i="39"/>
  <c r="O42" i="25" s="1"/>
  <c r="P42" i="25" s="1"/>
  <c r="B30" i="51"/>
  <c r="R73" i="25"/>
  <c r="P73" i="25"/>
  <c r="D71" i="39"/>
  <c r="Q42" i="25" s="1"/>
  <c r="R42" i="25" s="1"/>
  <c r="E71" i="39"/>
  <c r="G42" i="25" s="1"/>
  <c r="H42" i="25" s="1"/>
  <c r="C71" i="39"/>
  <c r="C42" i="25" s="1"/>
  <c r="D42" i="25" s="1"/>
  <c r="F49" i="71"/>
  <c r="F41" i="25"/>
  <c r="H71" i="39"/>
  <c r="K47" i="25"/>
  <c r="L47" i="25" s="1"/>
  <c r="E54" i="71" s="1"/>
  <c r="B70" i="39"/>
  <c r="B72" i="25"/>
  <c r="T72" i="25" s="1"/>
  <c r="B45" i="51"/>
  <c r="B60" i="51" s="1"/>
  <c r="B40" i="25"/>
  <c r="N41" i="25"/>
  <c r="P8" i="78" l="1"/>
  <c r="G70" i="39"/>
  <c r="O41" i="25" s="1"/>
  <c r="P41" i="25" s="1"/>
  <c r="B29" i="51"/>
  <c r="R72" i="25"/>
  <c r="P72" i="25"/>
  <c r="C70" i="39"/>
  <c r="C41" i="25" s="1"/>
  <c r="D41" i="25" s="1"/>
  <c r="D70" i="39"/>
  <c r="Q41" i="25" s="1"/>
  <c r="R41" i="25" s="1"/>
  <c r="E70" i="39"/>
  <c r="G41" i="25" s="1"/>
  <c r="H41" i="25" s="1"/>
  <c r="F48" i="71"/>
  <c r="F40" i="25"/>
  <c r="H70" i="39"/>
  <c r="K46" i="25"/>
  <c r="L46" i="25" s="1"/>
  <c r="E53" i="71" s="1"/>
  <c r="B69" i="39"/>
  <c r="B71" i="25"/>
  <c r="T71" i="25" s="1"/>
  <c r="B44" i="51"/>
  <c r="B59" i="51" s="1"/>
  <c r="B39" i="25"/>
  <c r="N40" i="25"/>
  <c r="P6" i="78" l="1"/>
  <c r="G69" i="39"/>
  <c r="O40" i="25" s="1"/>
  <c r="P40" i="25" s="1"/>
  <c r="R71" i="25"/>
  <c r="P71" i="25"/>
  <c r="B28" i="51"/>
  <c r="D69" i="39"/>
  <c r="Q40" i="25" s="1"/>
  <c r="R40" i="25" s="1"/>
  <c r="C69" i="39"/>
  <c r="C40" i="25" s="1"/>
  <c r="D40" i="25" s="1"/>
  <c r="E69" i="39"/>
  <c r="G40" i="25" s="1"/>
  <c r="H40" i="25" s="1"/>
  <c r="F47" i="71"/>
  <c r="F39" i="25"/>
  <c r="H69" i="39"/>
  <c r="K45" i="25"/>
  <c r="L45" i="25" s="1"/>
  <c r="E52" i="71" s="1"/>
  <c r="T123" i="89"/>
  <c r="U123" i="89" s="1"/>
  <c r="B68" i="39"/>
  <c r="G68" i="39" s="1"/>
  <c r="B70" i="25"/>
  <c r="B43" i="51"/>
  <c r="B58" i="51" s="1"/>
  <c r="B38" i="25"/>
  <c r="N39" i="25"/>
  <c r="P4" i="78" l="1"/>
  <c r="C68" i="39"/>
  <c r="C39" i="25" s="1"/>
  <c r="D39" i="25" s="1"/>
  <c r="O39" i="25"/>
  <c r="P39" i="25" s="1"/>
  <c r="P70" i="25"/>
  <c r="T70" i="25"/>
  <c r="R70" i="25"/>
  <c r="B27" i="51"/>
  <c r="E68" i="39"/>
  <c r="G39" i="25" s="1"/>
  <c r="H39" i="25" s="1"/>
  <c r="D68" i="39"/>
  <c r="Q39" i="25" s="1"/>
  <c r="R39" i="25" s="1"/>
  <c r="F46" i="71"/>
  <c r="F38" i="25"/>
  <c r="H68" i="39"/>
  <c r="K44" i="25"/>
  <c r="L44" i="25" s="1"/>
  <c r="E51" i="71" s="1"/>
  <c r="B67" i="39"/>
  <c r="G67" i="39" s="1"/>
  <c r="B69" i="25"/>
  <c r="B42" i="51"/>
  <c r="B57" i="51" s="1"/>
  <c r="B37" i="25"/>
  <c r="N38" i="25"/>
  <c r="P2" i="78" l="1"/>
  <c r="C67" i="39"/>
  <c r="C38" i="25" s="1"/>
  <c r="D38" i="25" s="1"/>
  <c r="O38" i="25"/>
  <c r="P38" i="25" s="1"/>
  <c r="P69" i="25"/>
  <c r="T69" i="25"/>
  <c r="R69" i="25"/>
  <c r="B26" i="51"/>
  <c r="D67" i="39"/>
  <c r="Q38" i="25" s="1"/>
  <c r="R38" i="25" s="1"/>
  <c r="E67" i="39"/>
  <c r="G38" i="25" s="1"/>
  <c r="H38" i="25" s="1"/>
  <c r="F45" i="71"/>
  <c r="F37" i="25"/>
  <c r="F49" i="25" s="1"/>
  <c r="H67" i="39"/>
  <c r="Q96" i="49"/>
  <c r="K43" i="25"/>
  <c r="L43" i="25" s="1"/>
  <c r="E50" i="71" s="1"/>
  <c r="B66" i="39"/>
  <c r="B68" i="25"/>
  <c r="B41" i="51"/>
  <c r="B56" i="51" s="1"/>
  <c r="B36" i="25"/>
  <c r="N37" i="25"/>
  <c r="G66" i="39" l="1"/>
  <c r="O37" i="25" s="1"/>
  <c r="P37" i="25" s="1"/>
  <c r="P68" i="25"/>
  <c r="T68" i="25"/>
  <c r="C66" i="39"/>
  <c r="C37" i="25" s="1"/>
  <c r="D37" i="25" s="1"/>
  <c r="D66" i="39"/>
  <c r="R68" i="25"/>
  <c r="T36" i="25"/>
  <c r="B25" i="51"/>
  <c r="E66" i="39"/>
  <c r="G37" i="25" s="1"/>
  <c r="H37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B67" i="25"/>
  <c r="T67" i="25" s="1"/>
  <c r="B65" i="39"/>
  <c r="B35" i="25"/>
  <c r="N36" i="25"/>
  <c r="G65" i="39" l="1"/>
  <c r="O36" i="25" s="1"/>
  <c r="P36" i="25" s="1"/>
  <c r="C36" i="25"/>
  <c r="D36" i="25" s="1"/>
  <c r="D65" i="39"/>
  <c r="D67" i="25"/>
  <c r="P67" i="25"/>
  <c r="R67" i="25"/>
  <c r="T35" i="25"/>
  <c r="Q37" i="25"/>
  <c r="R37" i="25" s="1"/>
  <c r="G36" i="25"/>
  <c r="H36" i="25" s="1"/>
  <c r="H65" i="39"/>
  <c r="F43" i="71"/>
  <c r="K41" i="25"/>
  <c r="L41" i="25" s="1"/>
  <c r="E48" i="71" s="1"/>
  <c r="K40" i="25"/>
  <c r="L40" i="25" s="1"/>
  <c r="E47" i="71" s="1"/>
  <c r="L67" i="25"/>
  <c r="F67" i="25"/>
  <c r="H67" i="25"/>
  <c r="N67" i="25"/>
  <c r="B66" i="25"/>
  <c r="T66" i="25" s="1"/>
  <c r="B64" i="39"/>
  <c r="J67" i="25"/>
  <c r="B34" i="25"/>
  <c r="N35" i="25"/>
  <c r="G64" i="39" l="1"/>
  <c r="O35" i="25" s="1"/>
  <c r="P35" i="25" s="1"/>
  <c r="H64" i="39"/>
  <c r="Q36" i="25"/>
  <c r="R36" i="25" s="1"/>
  <c r="I77" i="39"/>
  <c r="D64" i="39"/>
  <c r="Q35" i="25" s="1"/>
  <c r="R35" i="25" s="1"/>
  <c r="C35" i="25"/>
  <c r="D35" i="25" s="1"/>
  <c r="D66" i="25"/>
  <c r="P66" i="25"/>
  <c r="R66" i="25"/>
  <c r="T34" i="25"/>
  <c r="G35" i="25"/>
  <c r="H35" i="25" s="1"/>
  <c r="F42" i="71"/>
  <c r="K39" i="25"/>
  <c r="L39" i="25" s="1"/>
  <c r="E46" i="71" s="1"/>
  <c r="L66" i="25"/>
  <c r="H66" i="25"/>
  <c r="N66" i="25"/>
  <c r="F66" i="25"/>
  <c r="J66" i="25"/>
  <c r="B65" i="25"/>
  <c r="T65" i="25" s="1"/>
  <c r="B63" i="39"/>
  <c r="B33" i="25"/>
  <c r="N34" i="25"/>
  <c r="G63" i="39" l="1"/>
  <c r="O34" i="25" s="1"/>
  <c r="P34" i="25" s="1"/>
  <c r="D63" i="39"/>
  <c r="Q34" i="25" s="1"/>
  <c r="C34" i="25"/>
  <c r="D34" i="25" s="1"/>
  <c r="D65" i="25"/>
  <c r="R65" i="25"/>
  <c r="P65" i="25"/>
  <c r="T33" i="25"/>
  <c r="E63" i="39"/>
  <c r="G34" i="25" s="1"/>
  <c r="F41" i="71"/>
  <c r="P33" i="25"/>
  <c r="R33" i="25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T64" i="25" s="1"/>
  <c r="B32" i="25"/>
  <c r="N33" i="25"/>
  <c r="D33" i="25"/>
  <c r="H33" i="25"/>
  <c r="R64" i="25" l="1"/>
  <c r="P64" i="25"/>
  <c r="T32" i="25"/>
  <c r="V32" i="25"/>
  <c r="L64" i="25"/>
  <c r="D64" i="25"/>
  <c r="Q49" i="25"/>
  <c r="R34" i="25"/>
  <c r="H34" i="25"/>
  <c r="G49" i="25"/>
  <c r="C49" i="25"/>
  <c r="P32" i="25"/>
  <c r="R32" i="25"/>
  <c r="K37" i="25"/>
  <c r="L37" i="25" s="1"/>
  <c r="E44" i="71" s="1"/>
  <c r="B63" i="25"/>
  <c r="T63" i="25" s="1"/>
  <c r="F64" i="25"/>
  <c r="H64" i="25"/>
  <c r="N64" i="25"/>
  <c r="J64" i="25"/>
  <c r="B31" i="25"/>
  <c r="D32" i="25"/>
  <c r="L32" i="25"/>
  <c r="H32" i="25"/>
  <c r="N32" i="25"/>
  <c r="R63" i="25" l="1"/>
  <c r="P63" i="25"/>
  <c r="T31" i="25"/>
  <c r="V31" i="25"/>
  <c r="N63" i="25"/>
  <c r="D63" i="25"/>
  <c r="P31" i="25"/>
  <c r="R31" i="25"/>
  <c r="K35" i="25"/>
  <c r="L35" i="25" s="1"/>
  <c r="E42" i="71" s="1"/>
  <c r="F63" i="25"/>
  <c r="J63" i="25"/>
  <c r="H63" i="25"/>
  <c r="B62" i="25"/>
  <c r="T62" i="25" s="1"/>
  <c r="L63" i="25"/>
  <c r="B30" i="25"/>
  <c r="D31" i="25"/>
  <c r="L31" i="25"/>
  <c r="N31" i="25"/>
  <c r="H31" i="25"/>
  <c r="R62" i="25" l="1"/>
  <c r="P62" i="25"/>
  <c r="V30" i="25"/>
  <c r="T30" i="25"/>
  <c r="J62" i="25"/>
  <c r="D62" i="25"/>
  <c r="P30" i="25"/>
  <c r="R30" i="25"/>
  <c r="K49" i="25"/>
  <c r="L33" i="25"/>
  <c r="F62" i="25"/>
  <c r="N62" i="25"/>
  <c r="L62" i="25"/>
  <c r="H62" i="25"/>
  <c r="B61" i="25"/>
  <c r="T61" i="25" s="1"/>
  <c r="B29" i="25"/>
  <c r="D30" i="25"/>
  <c r="L30" i="25"/>
  <c r="N30" i="25"/>
  <c r="H30" i="25"/>
  <c r="R61" i="25" l="1"/>
  <c r="P61" i="25"/>
  <c r="V29" i="25"/>
  <c r="T29" i="25"/>
  <c r="L61" i="25"/>
  <c r="D61" i="25"/>
  <c r="P29" i="25"/>
  <c r="R29" i="25"/>
  <c r="N61" i="25"/>
  <c r="J61" i="25"/>
  <c r="J92" i="89"/>
  <c r="J91" i="89"/>
  <c r="F61" i="25"/>
  <c r="H61" i="25"/>
  <c r="B60" i="25"/>
  <c r="T60" i="25" s="1"/>
  <c r="H29" i="25"/>
  <c r="B28" i="25"/>
  <c r="L29" i="25"/>
  <c r="D29" i="25"/>
  <c r="N29" i="25"/>
  <c r="R60" i="25" l="1"/>
  <c r="P60" i="25"/>
  <c r="V28" i="25"/>
  <c r="T28" i="25"/>
  <c r="H60" i="25"/>
  <c r="D60" i="25"/>
  <c r="P28" i="25"/>
  <c r="R28" i="25"/>
  <c r="L90" i="89"/>
  <c r="L91" i="89"/>
  <c r="L92" i="89"/>
  <c r="L60" i="25"/>
  <c r="N60" i="25"/>
  <c r="B59" i="25"/>
  <c r="T59" i="25" s="1"/>
  <c r="J60" i="25"/>
  <c r="F60" i="25"/>
  <c r="H28" i="25"/>
  <c r="B27" i="25"/>
  <c r="D28" i="25"/>
  <c r="L28" i="25"/>
  <c r="N28" i="25"/>
  <c r="R59" i="25" l="1"/>
  <c r="P59" i="25"/>
  <c r="T27" i="25"/>
  <c r="V27" i="25"/>
  <c r="L59" i="25"/>
  <c r="D59" i="25"/>
  <c r="P27" i="25"/>
  <c r="R27" i="25"/>
  <c r="AV209" i="89"/>
  <c r="J59" i="25"/>
  <c r="H59" i="25"/>
  <c r="F59" i="25"/>
  <c r="N59" i="25"/>
  <c r="B58" i="25"/>
  <c r="T58" i="25" s="1"/>
  <c r="B26" i="25"/>
  <c r="H27" i="25"/>
  <c r="N27" i="25"/>
  <c r="D27" i="25"/>
  <c r="L27" i="25"/>
  <c r="D58" i="25" l="1"/>
  <c r="P58" i="25"/>
  <c r="R58" i="25"/>
  <c r="T26" i="25"/>
  <c r="V26" i="25"/>
  <c r="P26" i="25"/>
  <c r="R26" i="25"/>
  <c r="J58" i="25"/>
  <c r="N58" i="25"/>
  <c r="F58" i="25"/>
  <c r="H58" i="25"/>
  <c r="B57" i="25"/>
  <c r="T57" i="25" s="1"/>
  <c r="L58" i="25"/>
  <c r="B25" i="25"/>
  <c r="L26" i="25"/>
  <c r="D26" i="25"/>
  <c r="N26" i="25"/>
  <c r="H26" i="25"/>
  <c r="P57" i="25" l="1"/>
  <c r="R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T56" i="25" s="1"/>
  <c r="N57" i="25"/>
  <c r="BD247" i="89"/>
  <c r="BD243" i="89"/>
  <c r="BD244" i="89"/>
  <c r="BD245" i="89"/>
  <c r="BD246" i="89"/>
  <c r="L25" i="25"/>
  <c r="L49" i="25" s="1"/>
  <c r="D27" i="50" s="1"/>
  <c r="N25" i="25"/>
  <c r="N49" i="25" s="1"/>
  <c r="D25" i="25"/>
  <c r="D49" i="25" s="1"/>
  <c r="H25" i="25"/>
  <c r="H49" i="25" s="1"/>
  <c r="D25" i="50" s="1"/>
  <c r="AN170" i="89" s="1"/>
  <c r="D12" i="137" l="1"/>
  <c r="P56" i="25"/>
  <c r="R56" i="25"/>
  <c r="T24" i="25"/>
  <c r="V24" i="25"/>
  <c r="AN172" i="89"/>
  <c r="AO172" i="89" s="1"/>
  <c r="Q100" i="49"/>
  <c r="P100" i="49" s="1"/>
  <c r="L56" i="25"/>
  <c r="D56" i="25"/>
  <c r="P24" i="25"/>
  <c r="R24" i="25"/>
  <c r="N24" i="25"/>
  <c r="H24" i="25"/>
  <c r="B55" i="25"/>
  <c r="T55" i="25" s="1"/>
  <c r="T80" i="25" s="1"/>
  <c r="J24" i="25"/>
  <c r="L24" i="25"/>
  <c r="AO170" i="89"/>
  <c r="AU222" i="89"/>
  <c r="D9" i="50"/>
  <c r="C52" i="64"/>
  <c r="C50" i="64"/>
  <c r="J56" i="25"/>
  <c r="C47" i="64"/>
  <c r="O21" i="50"/>
  <c r="M21" i="50" s="1"/>
  <c r="H56" i="25"/>
  <c r="F56" i="25"/>
  <c r="N56" i="25"/>
  <c r="O49" i="25"/>
  <c r="BD242" i="89" s="1"/>
  <c r="BD248" i="89" s="1"/>
  <c r="P49" i="25"/>
  <c r="P55" i="25" l="1"/>
  <c r="P80" i="25" s="1"/>
  <c r="R55" i="25"/>
  <c r="R80" i="25" s="1"/>
  <c r="AU224" i="89"/>
  <c r="P104" i="49"/>
  <c r="AU217" i="89"/>
  <c r="AN165" i="89"/>
  <c r="N55" i="25"/>
  <c r="D55" i="25"/>
  <c r="F55" i="25"/>
  <c r="L55" i="25"/>
  <c r="H55" i="25"/>
  <c r="J55" i="25"/>
  <c r="BE242" i="89"/>
  <c r="BE247" i="89"/>
  <c r="BE244" i="89"/>
  <c r="BE245" i="89"/>
  <c r="BE246" i="89"/>
  <c r="P112" i="49" l="1"/>
  <c r="AO178" i="89"/>
  <c r="Q108" i="49"/>
  <c r="P108" i="49" s="1"/>
  <c r="C58" i="64"/>
  <c r="Q109" i="49"/>
  <c r="P109" i="49" s="1"/>
  <c r="C59" i="64"/>
  <c r="BE243" i="89"/>
  <c r="BE248" i="89" s="1"/>
  <c r="P96" i="49"/>
  <c r="O14" i="50"/>
  <c r="M14" i="50" s="1"/>
  <c r="P90" i="49" l="1"/>
  <c r="P94" i="49"/>
  <c r="BC247" i="89" l="1"/>
  <c r="BC242" i="89"/>
  <c r="BC243" i="89"/>
  <c r="BC245" i="89" l="1"/>
  <c r="BC244" i="89"/>
  <c r="BC246" i="89"/>
  <c r="BC248" i="89" l="1"/>
  <c r="BI246" i="89"/>
  <c r="BI247" i="89" l="1"/>
  <c r="BI245" i="89"/>
  <c r="BI244" i="89"/>
  <c r="BI243" i="89"/>
  <c r="BI242" i="89"/>
  <c r="BI248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4" i="50" s="1"/>
  <c r="G72" i="82"/>
  <c r="D72" i="82" s="1"/>
  <c r="P177" i="49" l="1"/>
  <c r="P180" i="49"/>
  <c r="C45" i="64" l="1"/>
  <c r="P97" i="49" l="1"/>
  <c r="Q98" i="49"/>
  <c r="P98" i="49" s="1"/>
  <c r="O25" i="50"/>
  <c r="M25" i="50" s="1"/>
  <c r="O24" i="50"/>
  <c r="M24" i="50" s="1"/>
  <c r="AN169" i="89"/>
  <c r="C49" i="64"/>
  <c r="P87" i="49"/>
  <c r="P82" i="49"/>
  <c r="P113" i="49" l="1"/>
  <c r="AO169" i="89"/>
  <c r="AU221" i="89"/>
  <c r="P111" i="49"/>
  <c r="P128" i="49"/>
  <c r="P184" i="49" l="1"/>
  <c r="C100" i="39" l="1"/>
  <c r="C101" i="39" l="1"/>
  <c r="Q1722" i="49" l="1"/>
  <c r="P1722" i="49" s="1"/>
  <c r="E9" i="82"/>
  <c r="C10" i="82"/>
  <c r="Q1723" i="49" s="1"/>
  <c r="P1723" i="49" s="1"/>
  <c r="E10" i="82"/>
  <c r="Q1721" i="49" s="1"/>
  <c r="P1721" i="49" s="1"/>
  <c r="Q1720" i="49" l="1"/>
  <c r="P1720" i="49" s="1"/>
  <c r="D26" i="64"/>
  <c r="C27" i="95"/>
  <c r="D47" i="50" l="1"/>
  <c r="D49" i="50"/>
  <c r="D50" i="50"/>
  <c r="D48" i="50"/>
  <c r="D46" i="50"/>
  <c r="D20" i="50"/>
  <c r="D19" i="50"/>
  <c r="C104" i="39"/>
  <c r="BM252" i="89"/>
  <c r="BN252" i="89" s="1"/>
  <c r="AU208" i="89"/>
  <c r="Q24" i="49"/>
  <c r="P24" i="49" s="1"/>
  <c r="C30" i="95"/>
  <c r="C21" i="95"/>
  <c r="Q211" i="49" l="1"/>
  <c r="P211" i="49" s="1"/>
  <c r="C68" i="64"/>
  <c r="Q213" i="49"/>
  <c r="P213" i="49" s="1"/>
  <c r="C70" i="64"/>
  <c r="Q215" i="49"/>
  <c r="P215" i="49" s="1"/>
  <c r="C72" i="64"/>
  <c r="Q214" i="49"/>
  <c r="P214" i="49" s="1"/>
  <c r="C71" i="64"/>
  <c r="Q212" i="49"/>
  <c r="P212" i="49" s="1"/>
  <c r="C69" i="64"/>
  <c r="Q93" i="49"/>
  <c r="P93" i="49" s="1"/>
  <c r="O20" i="50"/>
  <c r="M20" i="50" s="1"/>
  <c r="Q92" i="49"/>
  <c r="P92" i="49" s="1"/>
  <c r="O19" i="50"/>
  <c r="M19" i="50" s="1"/>
  <c r="BM259" i="89"/>
  <c r="C20" i="94"/>
  <c r="C35" i="95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88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66" i="89" s="1"/>
  <c r="G8" i="123"/>
  <c r="N8" i="123" s="1"/>
  <c r="L8" i="123"/>
  <c r="BP265" i="89" s="1"/>
  <c r="L7" i="123" l="1"/>
  <c r="BP264" i="89" s="1"/>
  <c r="BF244" i="89" s="1"/>
  <c r="L6" i="123"/>
  <c r="BP263" i="89" s="1"/>
  <c r="BF243" i="89" s="1"/>
  <c r="BF246" i="89"/>
  <c r="Q193" i="49"/>
  <c r="P193" i="49" s="1"/>
  <c r="BR266" i="89"/>
  <c r="BF245" i="89"/>
  <c r="BR265" i="89"/>
  <c r="Q192" i="49"/>
  <c r="P192" i="49" s="1"/>
  <c r="G9" i="123"/>
  <c r="N9" i="123" s="1"/>
  <c r="L5" i="123"/>
  <c r="G5" i="123"/>
  <c r="D11" i="123"/>
  <c r="Q191" i="49" l="1"/>
  <c r="P191" i="49" s="1"/>
  <c r="BR264" i="89"/>
  <c r="Q203" i="49" s="1"/>
  <c r="P203" i="49" s="1"/>
  <c r="Q190" i="49"/>
  <c r="P190" i="49" s="1"/>
  <c r="BR263" i="89"/>
  <c r="BS263" i="89" s="1"/>
  <c r="BH246" i="89"/>
  <c r="BJ246" i="89" s="1"/>
  <c r="BS266" i="89"/>
  <c r="Q205" i="49"/>
  <c r="P205" i="49" s="1"/>
  <c r="BP262" i="89"/>
  <c r="BH245" i="89"/>
  <c r="BJ245" i="89" s="1"/>
  <c r="BS265" i="89"/>
  <c r="Q204" i="49"/>
  <c r="P204" i="49" s="1"/>
  <c r="N5" i="123"/>
  <c r="BS264" i="89" l="1"/>
  <c r="BH244" i="89"/>
  <c r="BJ244" i="89" s="1"/>
  <c r="BH243" i="89"/>
  <c r="BJ243" i="89" s="1"/>
  <c r="Q202" i="49"/>
  <c r="P202" i="49" s="1"/>
  <c r="BF242" i="89"/>
  <c r="BR262" i="89"/>
  <c r="Q189" i="49"/>
  <c r="P189" i="49" s="1"/>
  <c r="BH242" i="89" l="1"/>
  <c r="BS262" i="89"/>
  <c r="Q201" i="49"/>
  <c r="P201" i="49" s="1"/>
  <c r="BJ242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10" i="89" l="1"/>
  <c r="D24" i="64"/>
  <c r="AU206" i="89" l="1"/>
  <c r="Q156" i="49"/>
  <c r="P156" i="49" s="1"/>
  <c r="O8" i="51"/>
  <c r="AF16" i="89"/>
  <c r="U10" i="89" l="1"/>
  <c r="AB141" i="89" l="1"/>
  <c r="L14" i="58" l="1"/>
  <c r="AD138" i="89" l="1"/>
  <c r="AC138" i="89" l="1"/>
  <c r="AY211" i="89" l="1"/>
  <c r="Q18" i="49"/>
  <c r="P18" i="49" s="1"/>
  <c r="N107" i="89" l="1"/>
  <c r="O107" i="89" s="1"/>
  <c r="AU202" i="89"/>
  <c r="AV202" i="89" l="1"/>
  <c r="G23" i="123"/>
  <c r="H23" i="123"/>
  <c r="C10" i="123" l="1"/>
  <c r="E10" i="123" s="1"/>
  <c r="F23" i="123"/>
  <c r="C11" i="123" l="1"/>
  <c r="G10" i="123"/>
  <c r="L10" i="123"/>
  <c r="E11" i="123"/>
  <c r="L11" i="123" l="1"/>
  <c r="BP267" i="89"/>
  <c r="N10" i="123"/>
  <c r="N11" i="123" s="1"/>
  <c r="G11" i="123"/>
  <c r="Q194" i="49" l="1"/>
  <c r="P194" i="49" s="1"/>
  <c r="BP268" i="89"/>
  <c r="BR268" i="89" s="1"/>
  <c r="BS268" i="89" s="1"/>
  <c r="BR267" i="89"/>
  <c r="BF247" i="89"/>
  <c r="BF248" i="89" s="1"/>
  <c r="Q206" i="49" l="1"/>
  <c r="P206" i="49" s="1"/>
  <c r="BS267" i="89"/>
  <c r="BH247" i="89"/>
  <c r="BJ247" i="89" l="1"/>
  <c r="BH248" i="89"/>
  <c r="BJ248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29" i="50" s="1"/>
  <c r="C55" i="64" l="1"/>
  <c r="AN174" i="89"/>
  <c r="AO174" i="89" l="1"/>
  <c r="AU226" i="89"/>
  <c r="C13" i="39" l="1"/>
  <c r="J40" i="39" s="1"/>
  <c r="K32" i="39" l="1"/>
  <c r="K33" i="39" s="1"/>
  <c r="C110" i="39"/>
  <c r="Q148" i="49" s="1"/>
  <c r="P148" i="49" s="1"/>
  <c r="C18" i="39" l="1"/>
  <c r="C111" i="39"/>
  <c r="D26" i="50" l="1"/>
  <c r="Q99" i="49" s="1"/>
  <c r="P99" i="49" s="1"/>
  <c r="J73" i="78"/>
  <c r="I74" i="78"/>
  <c r="G67" i="78"/>
  <c r="C89" i="78"/>
  <c r="J72" i="78"/>
  <c r="K66" i="78"/>
  <c r="N69" i="78"/>
  <c r="F66" i="78"/>
  <c r="S74" i="78"/>
  <c r="G11" i="78"/>
  <c r="O67" i="78"/>
  <c r="O64" i="78"/>
  <c r="I66" i="78"/>
  <c r="J65" i="78"/>
  <c r="P64" i="78"/>
  <c r="D119" i="78"/>
  <c r="G9" i="78"/>
  <c r="E63" i="78"/>
  <c r="D21" i="78"/>
  <c r="N68" i="78"/>
  <c r="D65" i="78"/>
  <c r="H70" i="78"/>
  <c r="K68" i="78"/>
  <c r="D16" i="78"/>
  <c r="G66" i="78"/>
  <c r="I67" i="78"/>
  <c r="P69" i="78"/>
  <c r="R72" i="78"/>
  <c r="T71" i="78"/>
  <c r="P67" i="78"/>
  <c r="Q71" i="78"/>
  <c r="L70" i="78"/>
  <c r="M71" i="78"/>
  <c r="H74" i="78"/>
  <c r="C83" i="78"/>
  <c r="L69" i="78"/>
  <c r="I63" i="78"/>
  <c r="R69" i="78"/>
  <c r="D11" i="78"/>
  <c r="J64" i="78"/>
  <c r="Q65" i="78"/>
  <c r="C9" i="78"/>
  <c r="K67" i="78"/>
  <c r="P68" i="78"/>
  <c r="H72" i="78"/>
  <c r="J74" i="78"/>
  <c r="D63" i="78"/>
  <c r="J70" i="78"/>
  <c r="L65" i="78"/>
  <c r="F68" i="78"/>
  <c r="C117" i="78"/>
  <c r="O65" i="78"/>
  <c r="C114" i="78"/>
  <c r="D9" i="78"/>
  <c r="S70" i="78"/>
  <c r="T67" i="78"/>
  <c r="I64" i="78"/>
  <c r="O70" i="78"/>
  <c r="D68" i="78"/>
  <c r="E74" i="78"/>
  <c r="R67" i="78"/>
  <c r="C95" i="78"/>
  <c r="C118" i="78"/>
  <c r="M73" i="78"/>
  <c r="C81" i="78"/>
  <c r="C11" i="78"/>
  <c r="K63" i="78"/>
  <c r="D72" i="78"/>
  <c r="O62" i="135" a="1"/>
  <c r="O56" i="135" a="1"/>
  <c r="M59" i="135" a="1"/>
  <c r="Y56" i="135" a="1"/>
  <c r="Q63" i="135" a="1"/>
  <c r="K59" i="135" a="1"/>
  <c r="S60" i="135" a="1"/>
  <c r="Y63" i="135" a="1"/>
  <c r="D55" i="135" a="1"/>
  <c r="F59" i="135" a="1"/>
  <c r="P59" i="135" a="1"/>
  <c r="AA61" i="135" a="1"/>
  <c r="U63" i="135" a="1"/>
  <c r="W54" i="135" a="1"/>
  <c r="Z55" i="135" a="1"/>
  <c r="F63" i="135" a="1"/>
  <c r="H61" i="135" a="1"/>
  <c r="U65" i="135" a="1"/>
  <c r="G55" i="135" a="1"/>
  <c r="W64" i="135" a="1"/>
  <c r="L61" i="135" a="1"/>
  <c r="M55" i="135" a="1"/>
  <c r="U62" i="135" a="1"/>
  <c r="H60" i="135" a="1"/>
  <c r="G61" i="135" a="1"/>
  <c r="Z61" i="135" a="1"/>
  <c r="O63" i="135" a="1"/>
  <c r="V62" i="135" a="1"/>
  <c r="O58" i="135" a="1"/>
  <c r="L56" i="135" a="1"/>
  <c r="O64" i="135" a="1"/>
  <c r="M60" i="135" a="1"/>
  <c r="Q61" i="135" a="1"/>
  <c r="I62" i="135" a="1"/>
  <c r="Q60" i="135" a="1"/>
  <c r="N55" i="135" a="1"/>
  <c r="P65" i="135" a="1"/>
  <c r="N65" i="135" a="1"/>
  <c r="H63" i="135" a="1"/>
  <c r="Q59" i="135" a="1"/>
  <c r="H56" i="135" a="1"/>
  <c r="F55" i="135" a="1"/>
  <c r="S55" i="135" a="1"/>
  <c r="Z63" i="135" a="1"/>
  <c r="Z58" i="135" a="1"/>
  <c r="W62" i="135" a="1"/>
  <c r="I55" i="135" a="1"/>
  <c r="E56" i="135" a="1"/>
  <c r="W63" i="135" a="1"/>
  <c r="J62" i="135" a="1"/>
  <c r="D60" i="135" a="1"/>
  <c r="F54" i="135" a="1"/>
  <c r="E58" i="135" a="1"/>
  <c r="Q55" i="135" a="1"/>
  <c r="X54" i="135" a="1"/>
  <c r="F61" i="135" a="1"/>
  <c r="AB64" i="135" a="1"/>
  <c r="L57" i="135" a="1"/>
  <c r="U61" i="135" a="1"/>
  <c r="C16" i="78"/>
  <c r="S72" i="78"/>
  <c r="C88" i="78"/>
  <c r="E69" i="78"/>
  <c r="R70" i="78"/>
  <c r="R64" i="78"/>
  <c r="Q67" i="78"/>
  <c r="Q74" i="78"/>
  <c r="T73" i="78"/>
  <c r="G65" i="78"/>
  <c r="P66" i="78"/>
  <c r="M74" i="78"/>
  <c r="E66" i="78"/>
  <c r="D19" i="78"/>
  <c r="C84" i="78"/>
  <c r="C13" i="78"/>
  <c r="D17" i="78"/>
  <c r="N71" i="78"/>
  <c r="G13" i="78"/>
  <c r="M69" i="78"/>
  <c r="D115" i="78"/>
  <c r="C14" i="78"/>
  <c r="C91" i="78"/>
  <c r="O72" i="78"/>
  <c r="F65" i="78"/>
  <c r="H68" i="78"/>
  <c r="P73" i="78"/>
  <c r="F67" i="78"/>
  <c r="C18" i="78"/>
  <c r="K69" i="78"/>
  <c r="L72" i="78"/>
  <c r="C17" i="78"/>
  <c r="H64" i="78"/>
  <c r="H66" i="78"/>
  <c r="O66" i="78"/>
  <c r="G12" i="78"/>
  <c r="D71" i="78"/>
  <c r="L73" i="78"/>
  <c r="N66" i="78"/>
  <c r="P71" i="78"/>
  <c r="O71" i="78"/>
  <c r="E54" i="135" a="1"/>
  <c r="J8" i="78"/>
  <c r="E67" i="78"/>
  <c r="C80" i="78"/>
  <c r="S64" i="78"/>
  <c r="F63" i="78"/>
  <c r="Q174" i="49"/>
  <c r="D64" i="78"/>
  <c r="C20" i="78"/>
  <c r="T64" i="78"/>
  <c r="D14" i="78"/>
  <c r="K72" i="78"/>
  <c r="C12" i="78"/>
  <c r="D10" i="78"/>
  <c r="C94" i="78"/>
  <c r="K74" i="78"/>
  <c r="O69" i="78"/>
  <c r="N65" i="78"/>
  <c r="K64" i="78"/>
  <c r="L63" i="78"/>
  <c r="N70" i="78"/>
  <c r="N64" i="78"/>
  <c r="E65" i="78"/>
  <c r="F74" i="78"/>
  <c r="L71" i="78"/>
  <c r="O68" i="78"/>
  <c r="E70" i="78"/>
  <c r="N57" i="135" a="1"/>
  <c r="U57" i="135" a="1"/>
  <c r="J60" i="135" a="1"/>
  <c r="N62" i="135" a="1"/>
  <c r="S65" i="135" a="1"/>
  <c r="J65" i="135" a="1"/>
  <c r="I63" i="135" a="1"/>
  <c r="O55" i="135" a="1"/>
  <c r="P63" i="135" a="1"/>
  <c r="D57" i="135" a="1"/>
  <c r="M58" i="135" a="1"/>
  <c r="Z56" i="135" a="1"/>
  <c r="Z64" i="135" a="1"/>
  <c r="L59" i="135" a="1"/>
  <c r="D59" i="135" a="1"/>
  <c r="AA64" i="135" a="1"/>
  <c r="G54" i="135" a="1"/>
  <c r="X59" i="135" a="1"/>
  <c r="Z54" i="135" a="1"/>
  <c r="I65" i="135" a="1"/>
  <c r="AA56" i="135" a="1"/>
  <c r="V54" i="135" a="1"/>
  <c r="F62" i="135" a="1"/>
  <c r="Q56" i="135" a="1"/>
  <c r="Q65" i="135" a="1"/>
  <c r="V59" i="135" a="1"/>
  <c r="K62" i="135" a="1"/>
  <c r="T63" i="135" a="1"/>
  <c r="M64" i="135" a="1"/>
  <c r="AA60" i="135" a="1"/>
  <c r="N61" i="135" a="1"/>
  <c r="H62" i="135" a="1"/>
  <c r="M61" i="135" a="1"/>
  <c r="U58" i="135" a="1"/>
  <c r="X56" i="135" a="1"/>
  <c r="M65" i="135" a="1"/>
  <c r="K55" i="135" a="1"/>
  <c r="Y65" i="135" a="1"/>
  <c r="K61" i="135" a="1"/>
  <c r="X63" i="135" a="1"/>
  <c r="K60" i="135" a="1"/>
  <c r="D58" i="135" a="1"/>
  <c r="X60" i="135" a="1"/>
  <c r="AB65" i="135" a="1"/>
  <c r="G59" i="135" a="1"/>
  <c r="V64" i="135" a="1"/>
  <c r="G62" i="135" a="1"/>
  <c r="Y62" i="135" a="1"/>
  <c r="P61" i="135" a="1"/>
  <c r="Y57" i="135" a="1"/>
  <c r="E57" i="135" a="1"/>
  <c r="N63" i="135" a="1"/>
  <c r="Q54" i="135" a="1"/>
  <c r="P57" i="135" a="1"/>
  <c r="S56" i="135" a="1"/>
  <c r="Q62" i="135" a="1"/>
  <c r="N56" i="135" a="1"/>
  <c r="W59" i="135" a="1"/>
  <c r="Z57" i="135" a="1"/>
  <c r="N74" i="78"/>
  <c r="N73" i="78"/>
  <c r="I65" i="78"/>
  <c r="I70" i="78"/>
  <c r="S73" i="78"/>
  <c r="T68" i="78"/>
  <c r="J66" i="78"/>
  <c r="M63" i="78"/>
  <c r="R66" i="78"/>
  <c r="C19" i="78"/>
  <c r="T72" i="78"/>
  <c r="J63" i="78"/>
  <c r="Q181" i="49"/>
  <c r="C79" i="78"/>
  <c r="S68" i="78"/>
  <c r="Q64" i="78"/>
  <c r="J68" i="78"/>
  <c r="S71" i="78"/>
  <c r="G73" i="78"/>
  <c r="N63" i="78"/>
  <c r="I68" i="78"/>
  <c r="M68" i="78"/>
  <c r="F71" i="78"/>
  <c r="D114" i="78"/>
  <c r="T70" i="78"/>
  <c r="J9" i="78"/>
  <c r="H71" i="78"/>
  <c r="F69" i="78"/>
  <c r="L68" i="78"/>
  <c r="R73" i="78"/>
  <c r="D73" i="78"/>
  <c r="L64" i="78"/>
  <c r="M64" i="78"/>
  <c r="P63" i="78"/>
  <c r="O63" i="78"/>
  <c r="O74" i="78"/>
  <c r="J71" i="78"/>
  <c r="M72" i="78"/>
  <c r="E64" i="78"/>
  <c r="E71" i="78"/>
  <c r="C115" i="78"/>
  <c r="F72" i="78"/>
  <c r="K71" i="78"/>
  <c r="L66" i="78"/>
  <c r="T74" i="78"/>
  <c r="M70" i="78"/>
  <c r="P74" i="78"/>
  <c r="D66" i="78"/>
  <c r="I69" i="78"/>
  <c r="O73" i="78"/>
  <c r="R68" i="78"/>
  <c r="S63" i="78"/>
  <c r="P65" i="78"/>
  <c r="L74" i="78"/>
  <c r="D18" i="78"/>
  <c r="C87" i="78"/>
  <c r="C82" i="78"/>
  <c r="I73" i="78"/>
  <c r="Q73" i="78"/>
  <c r="F64" i="78"/>
  <c r="Q72" i="78"/>
  <c r="H69" i="78"/>
  <c r="E73" i="78"/>
  <c r="D54" i="135" a="1"/>
  <c r="E68" i="78"/>
  <c r="T69" i="78"/>
  <c r="S65" i="78"/>
  <c r="D20" i="78"/>
  <c r="U54" i="135" a="1"/>
  <c r="Q58" i="135" a="1"/>
  <c r="S57" i="135" a="1"/>
  <c r="E65" i="135" a="1"/>
  <c r="H55" i="135" a="1"/>
  <c r="AB55" i="135" a="1"/>
  <c r="T58" i="135" a="1"/>
  <c r="L55" i="135" a="1"/>
  <c r="H57" i="135" a="1"/>
  <c r="T62" i="135" a="1"/>
  <c r="L6" i="58"/>
  <c r="S58" i="135" a="1"/>
  <c r="AA55" i="135" a="1"/>
  <c r="F58" i="135" a="1"/>
  <c r="Y55" i="135" a="1"/>
  <c r="O54" i="135" a="1"/>
  <c r="L58" i="135" a="1"/>
  <c r="N59" i="135" a="1"/>
  <c r="K57" i="135" a="1"/>
  <c r="W60" i="135" a="1"/>
  <c r="T65" i="135" a="1"/>
  <c r="M54" i="135" a="1"/>
  <c r="D62" i="135" a="1"/>
  <c r="X62" i="135" a="1"/>
  <c r="G58" i="135" a="1"/>
  <c r="Y64" i="135" a="1"/>
  <c r="AB59" i="135" a="1"/>
  <c r="Q57" i="135" a="1"/>
  <c r="W56" i="135" a="1"/>
  <c r="D64" i="135" a="1"/>
  <c r="J61" i="135" a="1"/>
  <c r="X64" i="135" a="1"/>
  <c r="J58" i="135" a="1"/>
  <c r="Z59" i="135" a="1"/>
  <c r="Z60" i="135" a="1"/>
  <c r="P55" i="135" a="1"/>
  <c r="H59" i="135" a="1"/>
  <c r="I56" i="135" a="1"/>
  <c r="P62" i="135" a="1"/>
  <c r="H65" i="135" a="1"/>
  <c r="D63" i="135" a="1"/>
  <c r="P58" i="135" a="1"/>
  <c r="E60" i="135" a="1"/>
  <c r="E64" i="135" a="1"/>
  <c r="W58" i="135" a="1"/>
  <c r="AB63" i="135" a="1"/>
  <c r="F64" i="135" a="1"/>
  <c r="K56" i="135" a="1"/>
  <c r="T55" i="135" a="1"/>
  <c r="O60" i="135" a="1"/>
  <c r="P56" i="135" a="1"/>
  <c r="AB57" i="135" a="1"/>
  <c r="U60" i="135" a="1"/>
  <c r="F56" i="135" a="1"/>
  <c r="T64" i="135" a="1"/>
  <c r="AB61" i="135" a="1"/>
  <c r="K54" i="135" a="1"/>
  <c r="AA54" i="135" a="1"/>
  <c r="U59" i="135" a="1"/>
  <c r="D12" i="78"/>
  <c r="C116" i="78"/>
  <c r="H67" i="78"/>
  <c r="Q70" i="78"/>
  <c r="G72" i="78"/>
  <c r="D13" i="78"/>
  <c r="G70" i="78"/>
  <c r="D67" i="78"/>
  <c r="T65" i="78"/>
  <c r="G69" i="78"/>
  <c r="C93" i="78"/>
  <c r="N67" i="78"/>
  <c r="K73" i="78"/>
  <c r="J67" i="78"/>
  <c r="G63" i="78"/>
  <c r="R63" i="78"/>
  <c r="R74" i="78"/>
  <c r="J54" i="135" a="1"/>
  <c r="AA62" i="135" a="1"/>
  <c r="V60" i="135" a="1"/>
  <c r="N54" i="135" a="1"/>
  <c r="I57" i="135" a="1"/>
  <c r="F60" i="135" a="1"/>
  <c r="I64" i="135" a="1"/>
  <c r="E59" i="135" a="1"/>
  <c r="N58" i="135" a="1"/>
  <c r="T59" i="135" a="1"/>
  <c r="J56" i="135" a="1"/>
  <c r="G56" i="135" a="1"/>
  <c r="V55" i="135" a="1"/>
  <c r="AB62" i="135" a="1"/>
  <c r="V57" i="135" a="1"/>
  <c r="W55" i="135" a="1"/>
  <c r="X58" i="135" a="1"/>
  <c r="I58" i="135" a="1"/>
  <c r="V61" i="135" a="1"/>
  <c r="AA58" i="135" a="1"/>
  <c r="Z62" i="135" a="1"/>
  <c r="U55" i="135" a="1"/>
  <c r="X61" i="135" a="1"/>
  <c r="Y58" i="135" a="1"/>
  <c r="Q64" i="135" a="1"/>
  <c r="I59" i="135" a="1"/>
  <c r="J55" i="135" a="1"/>
  <c r="O57" i="135" a="1"/>
  <c r="K64" i="135" a="1"/>
  <c r="G64" i="78"/>
  <c r="P72" i="78"/>
  <c r="S69" i="78"/>
  <c r="M66" i="78"/>
  <c r="K70" i="78"/>
  <c r="K58" i="135" a="1"/>
  <c r="L60" i="135" a="1"/>
  <c r="E62" i="135" a="1"/>
  <c r="L63" i="135" a="1"/>
  <c r="T57" i="135" a="1"/>
  <c r="E55" i="135" a="1"/>
  <c r="G64" i="135" a="1"/>
  <c r="L54" i="135" a="1"/>
  <c r="K65" i="135" a="1"/>
  <c r="S63" i="135" a="1"/>
  <c r="G14" i="78"/>
  <c r="Q68" i="78"/>
  <c r="D74" i="78"/>
  <c r="K65" i="78"/>
  <c r="C96" i="78"/>
  <c r="L67" i="78"/>
  <c r="R71" i="78"/>
  <c r="G68" i="78"/>
  <c r="D15" i="78"/>
  <c r="N72" i="78"/>
  <c r="M65" i="78"/>
  <c r="F73" i="78"/>
  <c r="G10" i="78"/>
  <c r="D118" i="78"/>
  <c r="G74" i="78"/>
  <c r="C90" i="78"/>
  <c r="H63" i="78"/>
  <c r="T56" i="135" a="1"/>
  <c r="Y59" i="135" a="1"/>
  <c r="AB54" i="135" a="1"/>
  <c r="Y60" i="135" a="1"/>
  <c r="M57" i="135" a="1"/>
  <c r="AA63" i="135" a="1"/>
  <c r="X57" i="135" a="1"/>
  <c r="L64" i="135" a="1"/>
  <c r="S62" i="135" a="1"/>
  <c r="S64" i="135" a="1"/>
  <c r="E61" i="135" a="1"/>
  <c r="I61" i="135" a="1"/>
  <c r="Y61" i="135" a="1"/>
  <c r="M63" i="135" a="1"/>
  <c r="Y54" i="135" a="1"/>
  <c r="U56" i="135" a="1"/>
  <c r="M56" i="135" a="1"/>
  <c r="L62" i="135" a="1"/>
  <c r="AB60" i="135" a="1"/>
  <c r="W61" i="135" a="1"/>
  <c r="AA65" i="135" a="1"/>
  <c r="U64" i="135" a="1"/>
  <c r="S59" i="135" a="1"/>
  <c r="P54" i="135" a="1"/>
  <c r="T54" i="135" a="1"/>
  <c r="J64" i="135" a="1"/>
  <c r="X55" i="135" a="1"/>
  <c r="J59" i="135" a="1"/>
  <c r="W57" i="135" a="1"/>
  <c r="C92" i="78"/>
  <c r="P70" i="78"/>
  <c r="Q69" i="78"/>
  <c r="H65" i="78"/>
  <c r="T66" i="78"/>
  <c r="J69" i="78"/>
  <c r="AB58" i="135" a="1"/>
  <c r="V58" i="135" a="1"/>
  <c r="K63" i="135" a="1"/>
  <c r="N64" i="135" a="1"/>
  <c r="G57" i="135" a="1"/>
  <c r="P60" i="135" a="1"/>
  <c r="D56" i="135" a="1"/>
  <c r="L65" i="135" a="1"/>
  <c r="C97" i="78"/>
  <c r="S67" i="78"/>
  <c r="C10" i="78"/>
  <c r="I71" i="78"/>
  <c r="F70" i="78"/>
  <c r="D70" i="78"/>
  <c r="E72" i="78"/>
  <c r="G8" i="78"/>
  <c r="M67" i="78"/>
  <c r="Q63" i="78"/>
  <c r="H73" i="78"/>
  <c r="Q66" i="78"/>
  <c r="T63" i="78"/>
  <c r="C15" i="78"/>
  <c r="S66" i="78"/>
  <c r="D69" i="78"/>
  <c r="D117" i="78"/>
  <c r="O65" i="135" a="1"/>
  <c r="P64" i="135" a="1"/>
  <c r="AA57" i="135" a="1"/>
  <c r="E63" i="135" a="1"/>
  <c r="N60" i="135" a="1"/>
  <c r="F57" i="135" a="1"/>
  <c r="H64" i="135" a="1"/>
  <c r="F65" i="135" a="1"/>
  <c r="G63" i="135" a="1"/>
  <c r="H58" i="135" a="1"/>
  <c r="H54" i="135" a="1"/>
  <c r="W65" i="135" a="1"/>
  <c r="S61" i="135" a="1"/>
  <c r="G60" i="135" a="1"/>
  <c r="I54" i="135" a="1"/>
  <c r="J63" i="135" a="1"/>
  <c r="O59" i="135" a="1"/>
  <c r="V63" i="135" a="1"/>
  <c r="O61" i="135" a="1"/>
  <c r="Z65" i="135" a="1"/>
  <c r="V56" i="135" a="1"/>
  <c r="V65" i="135" a="1"/>
  <c r="M62" i="135" a="1"/>
  <c r="AB56" i="135" a="1"/>
  <c r="G65" i="135" a="1"/>
  <c r="C119" i="78"/>
  <c r="G71" i="78"/>
  <c r="I72" i="78"/>
  <c r="Q173" i="49"/>
  <c r="R65" i="78"/>
  <c r="D116" i="78"/>
  <c r="AA59" i="135" a="1"/>
  <c r="I60" i="135" a="1"/>
  <c r="D61" i="135" a="1"/>
  <c r="S54" i="135" a="1"/>
  <c r="D65" i="135" a="1"/>
  <c r="T60" i="135" a="1"/>
  <c r="X65" i="135" a="1"/>
  <c r="J57" i="135" a="1"/>
  <c r="T61" i="135" a="1"/>
  <c r="T61" i="135" l="1"/>
  <c r="J57" i="135"/>
  <c r="X65" i="135"/>
  <c r="T60" i="135"/>
  <c r="D65" i="135"/>
  <c r="S54" i="135"/>
  <c r="D61" i="135"/>
  <c r="I60" i="135"/>
  <c r="AA59" i="135"/>
  <c r="C58" i="51"/>
  <c r="C27" i="51" s="1"/>
  <c r="P173" i="49"/>
  <c r="E65" i="51"/>
  <c r="E34" i="51" s="1"/>
  <c r="G64" i="51"/>
  <c r="G33" i="51" s="1"/>
  <c r="G65" i="135"/>
  <c r="AB56" i="135"/>
  <c r="M62" i="135"/>
  <c r="V65" i="135"/>
  <c r="V56" i="135"/>
  <c r="Z65" i="135"/>
  <c r="O61" i="135"/>
  <c r="V63" i="135"/>
  <c r="O59" i="135"/>
  <c r="J63" i="135"/>
  <c r="I54" i="135"/>
  <c r="G60" i="135"/>
  <c r="S61" i="135"/>
  <c r="W65" i="135"/>
  <c r="H54" i="135"/>
  <c r="H58" i="135"/>
  <c r="G63" i="135"/>
  <c r="F65" i="135"/>
  <c r="H64" i="135"/>
  <c r="F57" i="135"/>
  <c r="N60" i="135"/>
  <c r="E63" i="135"/>
  <c r="AA57" i="135"/>
  <c r="P64" i="135"/>
  <c r="O65" i="135"/>
  <c r="J62" i="51"/>
  <c r="Q64" i="49"/>
  <c r="P64" i="49" s="1"/>
  <c r="I12" i="51"/>
  <c r="L9" i="58"/>
  <c r="L16" i="58" s="1"/>
  <c r="T75" i="78"/>
  <c r="F66" i="51"/>
  <c r="F35" i="51" s="1"/>
  <c r="Q75" i="78"/>
  <c r="J63" i="51"/>
  <c r="D63" i="51"/>
  <c r="D32" i="51" s="1"/>
  <c r="E64" i="51"/>
  <c r="E33" i="51" s="1"/>
  <c r="Q59" i="49"/>
  <c r="P59" i="49" s="1"/>
  <c r="L65" i="135"/>
  <c r="D56" i="135"/>
  <c r="P60" i="135"/>
  <c r="G57" i="135"/>
  <c r="N64" i="135"/>
  <c r="K63" i="135"/>
  <c r="V58" i="135"/>
  <c r="AB58" i="135"/>
  <c r="F58" i="51"/>
  <c r="F27" i="51" s="1"/>
  <c r="W57" i="135"/>
  <c r="J59" i="135"/>
  <c r="X55" i="135"/>
  <c r="J64" i="135"/>
  <c r="T54" i="135"/>
  <c r="P54" i="135"/>
  <c r="S59" i="135"/>
  <c r="U64" i="135"/>
  <c r="AA65" i="135"/>
  <c r="W61" i="135"/>
  <c r="AB60" i="135"/>
  <c r="L62" i="135"/>
  <c r="M56" i="135"/>
  <c r="U56" i="135"/>
  <c r="Y54" i="135"/>
  <c r="M63" i="135"/>
  <c r="Y61" i="135"/>
  <c r="I61" i="135"/>
  <c r="E61" i="135"/>
  <c r="S64" i="135"/>
  <c r="S62" i="135"/>
  <c r="L64" i="135"/>
  <c r="X57" i="135"/>
  <c r="AA63" i="135"/>
  <c r="M57" i="135"/>
  <c r="Y60" i="135"/>
  <c r="AB54" i="135"/>
  <c r="Y59" i="135"/>
  <c r="T56" i="135"/>
  <c r="H75" i="78"/>
  <c r="F56" i="51"/>
  <c r="F25" i="51" s="1"/>
  <c r="G67" i="51"/>
  <c r="G36" i="51" s="1"/>
  <c r="D66" i="51"/>
  <c r="D35" i="51" s="1"/>
  <c r="Q77" i="49"/>
  <c r="P77" i="49" s="1"/>
  <c r="G61" i="51"/>
  <c r="G30" i="51" s="1"/>
  <c r="C64" i="51"/>
  <c r="C33" i="51" s="1"/>
  <c r="J67" i="51"/>
  <c r="S63" i="135"/>
  <c r="K65" i="135"/>
  <c r="L54" i="135"/>
  <c r="G64" i="135"/>
  <c r="E55" i="135"/>
  <c r="T57" i="135"/>
  <c r="L63" i="135"/>
  <c r="E62" i="135"/>
  <c r="L60" i="135"/>
  <c r="K58" i="135"/>
  <c r="G57" i="51"/>
  <c r="G26" i="51" s="1"/>
  <c r="K64" i="135"/>
  <c r="O57" i="135"/>
  <c r="J55" i="135"/>
  <c r="I59" i="135"/>
  <c r="Q64" i="135"/>
  <c r="Y58" i="135"/>
  <c r="X61" i="135"/>
  <c r="U55" i="135"/>
  <c r="Z62" i="135"/>
  <c r="AA58" i="135"/>
  <c r="V61" i="135"/>
  <c r="I58" i="135"/>
  <c r="X58" i="135"/>
  <c r="W55" i="135"/>
  <c r="V57" i="135"/>
  <c r="AB62" i="135"/>
  <c r="V55" i="135"/>
  <c r="G56" i="135"/>
  <c r="J56" i="135"/>
  <c r="T59" i="135"/>
  <c r="N58" i="135"/>
  <c r="E59" i="135"/>
  <c r="I64" i="135"/>
  <c r="F60" i="135"/>
  <c r="I57" i="135"/>
  <c r="N54" i="135"/>
  <c r="V60" i="135"/>
  <c r="AA62" i="135"/>
  <c r="J54" i="135"/>
  <c r="C67" i="51"/>
  <c r="C36" i="51" s="1"/>
  <c r="C56" i="51"/>
  <c r="C25" i="51" s="1"/>
  <c r="R75" i="78"/>
  <c r="G56" i="51"/>
  <c r="G25" i="51" s="1"/>
  <c r="G75" i="78"/>
  <c r="G62" i="51"/>
  <c r="G31" i="51" s="1"/>
  <c r="J60" i="51"/>
  <c r="G63" i="51"/>
  <c r="G32" i="51" s="1"/>
  <c r="Q75" i="49"/>
  <c r="P75" i="49" s="1"/>
  <c r="G65" i="51"/>
  <c r="G34" i="51" s="1"/>
  <c r="F60" i="51"/>
  <c r="F29" i="51" s="1"/>
  <c r="Q74" i="49"/>
  <c r="P74" i="49" s="1"/>
  <c r="U59" i="135"/>
  <c r="AA54" i="135"/>
  <c r="K54" i="135"/>
  <c r="AB61" i="135"/>
  <c r="T64" i="135"/>
  <c r="F56" i="135"/>
  <c r="U60" i="135"/>
  <c r="AB57" i="135"/>
  <c r="P56" i="135"/>
  <c r="O60" i="135"/>
  <c r="T55" i="135"/>
  <c r="K56" i="135"/>
  <c r="F64" i="135"/>
  <c r="AB63" i="135"/>
  <c r="W58" i="135"/>
  <c r="E64" i="135"/>
  <c r="E60" i="135"/>
  <c r="P58" i="135"/>
  <c r="D63" i="135"/>
  <c r="H65" i="135"/>
  <c r="P62" i="135"/>
  <c r="I56" i="135"/>
  <c r="H59" i="135"/>
  <c r="P55" i="135"/>
  <c r="Z60" i="135"/>
  <c r="Z59" i="135"/>
  <c r="J58" i="135"/>
  <c r="X64" i="135"/>
  <c r="J61" i="135"/>
  <c r="D64" i="135"/>
  <c r="W56" i="135"/>
  <c r="Q57" i="135"/>
  <c r="AB59" i="135"/>
  <c r="Y64" i="135"/>
  <c r="G58" i="135"/>
  <c r="X62" i="135"/>
  <c r="D62" i="135"/>
  <c r="M54" i="135"/>
  <c r="T65" i="135"/>
  <c r="W60" i="135"/>
  <c r="K57" i="135"/>
  <c r="N59" i="135"/>
  <c r="L58" i="135"/>
  <c r="O54" i="135"/>
  <c r="Y55" i="135"/>
  <c r="F58" i="135"/>
  <c r="AA55" i="135"/>
  <c r="S58" i="135"/>
  <c r="C8" i="58"/>
  <c r="T62" i="135"/>
  <c r="H57" i="135"/>
  <c r="L55" i="135"/>
  <c r="T58" i="135"/>
  <c r="AB55" i="135"/>
  <c r="H55" i="135"/>
  <c r="E65" i="135"/>
  <c r="S57" i="135"/>
  <c r="Q58" i="135"/>
  <c r="U54" i="135"/>
  <c r="Q69" i="49"/>
  <c r="P69" i="49" s="1"/>
  <c r="D54" i="135"/>
  <c r="F62" i="51"/>
  <c r="F31" i="51" s="1"/>
  <c r="D57" i="51"/>
  <c r="D26" i="51" s="1"/>
  <c r="E66" i="51"/>
  <c r="E35" i="51" s="1"/>
  <c r="G16" i="78"/>
  <c r="D22" i="78"/>
  <c r="Q68" i="49" s="1"/>
  <c r="P68" i="49" s="1"/>
  <c r="S75" i="78"/>
  <c r="C61" i="51"/>
  <c r="E62" i="51"/>
  <c r="E31" i="51" s="1"/>
  <c r="J59" i="51"/>
  <c r="D65" i="51"/>
  <c r="D34" i="51" s="1"/>
  <c r="O75" i="78"/>
  <c r="P75" i="78"/>
  <c r="J66" i="51"/>
  <c r="C66" i="51"/>
  <c r="C35" i="51" s="1"/>
  <c r="D62" i="51"/>
  <c r="D31" i="51" s="1"/>
  <c r="F64" i="51"/>
  <c r="F33" i="51" s="1"/>
  <c r="Q10" i="49"/>
  <c r="P10" i="49" s="1"/>
  <c r="D120" i="78"/>
  <c r="D64" i="51"/>
  <c r="D33" i="51" s="1"/>
  <c r="E61" i="51"/>
  <c r="E30" i="51" s="1"/>
  <c r="N75" i="78"/>
  <c r="G66" i="51"/>
  <c r="G35" i="51" s="1"/>
  <c r="G15" i="78"/>
  <c r="G17" i="78" s="1"/>
  <c r="P181" i="49"/>
  <c r="J75" i="78"/>
  <c r="Q54" i="49"/>
  <c r="P54" i="49" s="1"/>
  <c r="L8" i="58"/>
  <c r="C59" i="51"/>
  <c r="C28" i="51" s="1"/>
  <c r="M75" i="78"/>
  <c r="E63" i="51"/>
  <c r="E32" i="51" s="1"/>
  <c r="E58" i="51"/>
  <c r="E27" i="51" s="1"/>
  <c r="Z57" i="135"/>
  <c r="W59" i="135"/>
  <c r="N56" i="135"/>
  <c r="Q62" i="135"/>
  <c r="S56" i="135"/>
  <c r="P57" i="135"/>
  <c r="Q54" i="135"/>
  <c r="N63" i="135"/>
  <c r="E57" i="135"/>
  <c r="Y57" i="135"/>
  <c r="P61" i="135"/>
  <c r="Y62" i="135"/>
  <c r="G62" i="135"/>
  <c r="V64" i="135"/>
  <c r="G59" i="135"/>
  <c r="AB65" i="135"/>
  <c r="X60" i="135"/>
  <c r="D58" i="135"/>
  <c r="K60" i="135"/>
  <c r="X63" i="135"/>
  <c r="K61" i="135"/>
  <c r="Y65" i="135"/>
  <c r="K55" i="135"/>
  <c r="M65" i="135"/>
  <c r="X56" i="135"/>
  <c r="U58" i="135"/>
  <c r="M61" i="135"/>
  <c r="H62" i="135"/>
  <c r="N61" i="135"/>
  <c r="AA60" i="135"/>
  <c r="M64" i="135"/>
  <c r="T63" i="135"/>
  <c r="K62" i="135"/>
  <c r="V59" i="135"/>
  <c r="Q65" i="135"/>
  <c r="Q56" i="135"/>
  <c r="F62" i="135"/>
  <c r="V54" i="135"/>
  <c r="AA56" i="135"/>
  <c r="I65" i="135"/>
  <c r="Z54" i="135"/>
  <c r="X59" i="135"/>
  <c r="G54" i="135"/>
  <c r="AA64" i="135"/>
  <c r="D59" i="135"/>
  <c r="L59" i="135"/>
  <c r="Z64" i="135"/>
  <c r="Z56" i="135"/>
  <c r="M58" i="135"/>
  <c r="D57" i="135"/>
  <c r="P63" i="135"/>
  <c r="O55" i="135"/>
  <c r="I63" i="135"/>
  <c r="J65" i="135"/>
  <c r="S65" i="135"/>
  <c r="N62" i="135"/>
  <c r="J60" i="135"/>
  <c r="U57" i="135"/>
  <c r="N57" i="135"/>
  <c r="D67" i="51"/>
  <c r="D36" i="51" s="1"/>
  <c r="L75" i="78"/>
  <c r="Q72" i="49"/>
  <c r="P72" i="49" s="1"/>
  <c r="I11" i="51"/>
  <c r="Q61" i="49"/>
  <c r="P61" i="49" s="1"/>
  <c r="Q76" i="49"/>
  <c r="P76" i="49" s="1"/>
  <c r="Q56" i="49"/>
  <c r="P56" i="49" s="1"/>
  <c r="J57" i="51"/>
  <c r="P174" i="49"/>
  <c r="F75" i="78"/>
  <c r="D56" i="51"/>
  <c r="D25" i="51" s="1"/>
  <c r="Q9" i="49"/>
  <c r="P9" i="49" s="1"/>
  <c r="E54" i="135"/>
  <c r="J64" i="51"/>
  <c r="F59" i="51"/>
  <c r="F28" i="51" s="1"/>
  <c r="F57" i="51"/>
  <c r="F26" i="51" s="1"/>
  <c r="Q53" i="49"/>
  <c r="P53" i="49" s="1"/>
  <c r="C22" i="78"/>
  <c r="Q55" i="49" s="1"/>
  <c r="P55" i="49" s="1"/>
  <c r="L7" i="58"/>
  <c r="L7" i="51" s="1"/>
  <c r="D60" i="51"/>
  <c r="D29" i="51" s="1"/>
  <c r="F61" i="51"/>
  <c r="F30" i="51" s="1"/>
  <c r="D58" i="51"/>
  <c r="D27" i="51" s="1"/>
  <c r="Q63" i="49"/>
  <c r="P63" i="49" s="1"/>
  <c r="Q66" i="49"/>
  <c r="P66" i="49" s="1"/>
  <c r="Q62" i="49"/>
  <c r="P62" i="49" s="1"/>
  <c r="Q67" i="49"/>
  <c r="P67" i="49" s="1"/>
  <c r="G58" i="51"/>
  <c r="G27" i="51" s="1"/>
  <c r="C57" i="51"/>
  <c r="C26" i="51" s="1"/>
  <c r="C63" i="51"/>
  <c r="C32" i="51" s="1"/>
  <c r="U61" i="135"/>
  <c r="L57" i="135"/>
  <c r="AB64" i="135"/>
  <c r="F61" i="135"/>
  <c r="X54" i="135"/>
  <c r="Q55" i="135"/>
  <c r="E58" i="135"/>
  <c r="F54" i="135"/>
  <c r="D60" i="135"/>
  <c r="J62" i="135"/>
  <c r="W63" i="135"/>
  <c r="E56" i="135"/>
  <c r="I55" i="135"/>
  <c r="W62" i="135"/>
  <c r="Z58" i="135"/>
  <c r="Z63" i="135"/>
  <c r="S55" i="135"/>
  <c r="F55" i="135"/>
  <c r="H56" i="135"/>
  <c r="Q59" i="135"/>
  <c r="H63" i="135"/>
  <c r="N65" i="135"/>
  <c r="P65" i="135"/>
  <c r="N55" i="135"/>
  <c r="Q60" i="135"/>
  <c r="I62" i="135"/>
  <c r="Q61" i="135"/>
  <c r="M60" i="135"/>
  <c r="O64" i="135"/>
  <c r="L56" i="135"/>
  <c r="O58" i="135"/>
  <c r="V62" i="135"/>
  <c r="O63" i="135"/>
  <c r="Z61" i="135"/>
  <c r="G61" i="135"/>
  <c r="G67" i="135" s="1"/>
  <c r="H60" i="135"/>
  <c r="U62" i="135"/>
  <c r="M55" i="135"/>
  <c r="L61" i="135"/>
  <c r="L67" i="135" s="1"/>
  <c r="G27" i="135" s="1"/>
  <c r="W64" i="135"/>
  <c r="G55" i="135"/>
  <c r="U65" i="135"/>
  <c r="H61" i="135"/>
  <c r="F63" i="135"/>
  <c r="Z55" i="135"/>
  <c r="W54" i="135"/>
  <c r="U63" i="135"/>
  <c r="AA61" i="135"/>
  <c r="P59" i="135"/>
  <c r="F59" i="135"/>
  <c r="D55" i="135"/>
  <c r="Y63" i="135"/>
  <c r="S60" i="135"/>
  <c r="K59" i="135"/>
  <c r="Q63" i="135"/>
  <c r="Y56" i="135"/>
  <c r="M59" i="135"/>
  <c r="O56" i="135"/>
  <c r="O62" i="135"/>
  <c r="J65" i="51"/>
  <c r="K75" i="78"/>
  <c r="Q60" i="49"/>
  <c r="P60" i="49" s="1"/>
  <c r="C60" i="51"/>
  <c r="C29" i="51" s="1"/>
  <c r="J61" i="51"/>
  <c r="E57" i="51"/>
  <c r="E26" i="51" s="1"/>
  <c r="Q71" i="49"/>
  <c r="P71" i="49" s="1"/>
  <c r="D8" i="78"/>
  <c r="Q65" i="49" s="1"/>
  <c r="P65" i="49" s="1"/>
  <c r="C120" i="78"/>
  <c r="D61" i="51"/>
  <c r="D30" i="51" s="1"/>
  <c r="D75" i="78"/>
  <c r="J56" i="51"/>
  <c r="F65" i="51"/>
  <c r="F34" i="51" s="1"/>
  <c r="C8" i="78"/>
  <c r="C25" i="78" s="1"/>
  <c r="J15" i="78" s="1"/>
  <c r="K41" i="39" s="1"/>
  <c r="Q58" i="49"/>
  <c r="P58" i="49" s="1"/>
  <c r="I10" i="51"/>
  <c r="I19" i="51" s="1"/>
  <c r="Q73" i="49"/>
  <c r="P73" i="49" s="1"/>
  <c r="C62" i="51"/>
  <c r="I75" i="78"/>
  <c r="E56" i="51"/>
  <c r="E25" i="51" s="1"/>
  <c r="F67" i="51"/>
  <c r="F36" i="51" s="1"/>
  <c r="C65" i="51"/>
  <c r="C34" i="51" s="1"/>
  <c r="E60" i="51"/>
  <c r="E29" i="51" s="1"/>
  <c r="G59" i="51"/>
  <c r="G28" i="51" s="1"/>
  <c r="F63" i="51"/>
  <c r="F32" i="51" s="1"/>
  <c r="J58" i="51"/>
  <c r="Q70" i="49"/>
  <c r="P70" i="49" s="1"/>
  <c r="E75" i="78"/>
  <c r="E59" i="51"/>
  <c r="E28" i="51" s="1"/>
  <c r="D59" i="51"/>
  <c r="D28" i="51" s="1"/>
  <c r="G60" i="51"/>
  <c r="G29" i="51" s="1"/>
  <c r="E67" i="51"/>
  <c r="E36" i="51" s="1"/>
  <c r="H66" i="51"/>
  <c r="H35" i="51" s="1"/>
  <c r="H64" i="51"/>
  <c r="H33" i="51" s="1"/>
  <c r="L5" i="58"/>
  <c r="Q14" i="58" s="1"/>
  <c r="X67" i="135"/>
  <c r="G26" i="135" s="1"/>
  <c r="D62" i="50" s="1"/>
  <c r="Q227" i="49" s="1"/>
  <c r="P227" i="49" s="1"/>
  <c r="K67" i="135"/>
  <c r="V66" i="135"/>
  <c r="V67" i="135"/>
  <c r="J66" i="135"/>
  <c r="J67" i="135"/>
  <c r="P66" i="135"/>
  <c r="F32" i="135" s="1"/>
  <c r="P67" i="135"/>
  <c r="G32" i="135" s="1"/>
  <c r="D76" i="50" s="1"/>
  <c r="Q241" i="49" s="1"/>
  <c r="P241" i="49" s="1"/>
  <c r="S66" i="135"/>
  <c r="S67" i="135"/>
  <c r="L23" i="58"/>
  <c r="M24" i="58" s="1"/>
  <c r="L66" i="135"/>
  <c r="F27" i="135" s="1"/>
  <c r="W66" i="135"/>
  <c r="W67" i="135"/>
  <c r="G66" i="135"/>
  <c r="AB66" i="135"/>
  <c r="AB67" i="135"/>
  <c r="U67" i="135"/>
  <c r="U66" i="135"/>
  <c r="E66" i="135"/>
  <c r="E67" i="135"/>
  <c r="F66" i="135"/>
  <c r="F67" i="135"/>
  <c r="N66" i="135"/>
  <c r="F29" i="135" s="1"/>
  <c r="N67" i="135"/>
  <c r="G29" i="135" s="1"/>
  <c r="D75" i="50" s="1"/>
  <c r="Q240" i="49" s="1"/>
  <c r="P240" i="49" s="1"/>
  <c r="AA66" i="135"/>
  <c r="AA67" i="135"/>
  <c r="O66" i="135"/>
  <c r="F30" i="135" s="1"/>
  <c r="O67" i="135"/>
  <c r="G30" i="135" s="1"/>
  <c r="D68" i="50" s="1"/>
  <c r="Q233" i="49" s="1"/>
  <c r="P233" i="49" s="1"/>
  <c r="Y66" i="135"/>
  <c r="Y67" i="135"/>
  <c r="H67" i="135"/>
  <c r="H66" i="135"/>
  <c r="M66" i="135"/>
  <c r="F25" i="135" s="1"/>
  <c r="M67" i="135"/>
  <c r="G25" i="135" s="1"/>
  <c r="T66" i="135"/>
  <c r="T67" i="135"/>
  <c r="I66" i="135"/>
  <c r="I67" i="135"/>
  <c r="D66" i="135"/>
  <c r="D67" i="135"/>
  <c r="Z66" i="135"/>
  <c r="Z67" i="135"/>
  <c r="Q66" i="135"/>
  <c r="F31" i="135" s="1"/>
  <c r="Q67" i="135"/>
  <c r="G31" i="135" s="1"/>
  <c r="D74" i="50" s="1"/>
  <c r="Q239" i="49" s="1"/>
  <c r="P239" i="49" s="1"/>
  <c r="L17" i="58"/>
  <c r="P14" i="58" s="1"/>
  <c r="C68" i="25"/>
  <c r="D68" i="25" s="1"/>
  <c r="E68" i="25"/>
  <c r="F68" i="25" s="1"/>
  <c r="G68" i="25"/>
  <c r="H68" i="25" s="1"/>
  <c r="I68" i="25"/>
  <c r="J68" i="25" s="1"/>
  <c r="K68" i="25"/>
  <c r="L68" i="25" s="1"/>
  <c r="M68" i="25"/>
  <c r="N68" i="25" s="1"/>
  <c r="C69" i="25"/>
  <c r="D69" i="25" s="1"/>
  <c r="E69" i="25"/>
  <c r="F69" i="25" s="1"/>
  <c r="G69" i="25"/>
  <c r="H69" i="25" s="1"/>
  <c r="I69" i="25"/>
  <c r="J69" i="25" s="1"/>
  <c r="K69" i="25"/>
  <c r="L69" i="25" s="1"/>
  <c r="M69" i="25"/>
  <c r="N69" i="25" s="1"/>
  <c r="C70" i="25"/>
  <c r="D70" i="25" s="1"/>
  <c r="E70" i="25"/>
  <c r="F70" i="25" s="1"/>
  <c r="G70" i="25"/>
  <c r="H70" i="25" s="1"/>
  <c r="I70" i="25"/>
  <c r="J70" i="25" s="1"/>
  <c r="K70" i="25"/>
  <c r="L70" i="25" s="1"/>
  <c r="M70" i="25"/>
  <c r="N70" i="25" s="1"/>
  <c r="C71" i="25"/>
  <c r="D71" i="25" s="1"/>
  <c r="E71" i="25"/>
  <c r="F71" i="25" s="1"/>
  <c r="G71" i="25"/>
  <c r="H71" i="25" s="1"/>
  <c r="I71" i="25"/>
  <c r="J71" i="25" s="1"/>
  <c r="K71" i="25"/>
  <c r="L71" i="25" s="1"/>
  <c r="M71" i="25"/>
  <c r="N71" i="25" s="1"/>
  <c r="C72" i="25"/>
  <c r="D72" i="25" s="1"/>
  <c r="E72" i="25"/>
  <c r="F72" i="25" s="1"/>
  <c r="G72" i="25"/>
  <c r="H72" i="25" s="1"/>
  <c r="I72" i="25"/>
  <c r="J72" i="25" s="1"/>
  <c r="K72" i="25"/>
  <c r="L72" i="25" s="1"/>
  <c r="M72" i="25"/>
  <c r="N72" i="25" s="1"/>
  <c r="E73" i="25"/>
  <c r="F73" i="25" s="1"/>
  <c r="G73" i="25"/>
  <c r="H73" i="25" s="1"/>
  <c r="I73" i="25"/>
  <c r="J73" i="25" s="1"/>
  <c r="K73" i="25"/>
  <c r="L73" i="25" s="1"/>
  <c r="M73" i="25"/>
  <c r="N73" i="25" s="1"/>
  <c r="E74" i="25"/>
  <c r="F74" i="25" s="1"/>
  <c r="G74" i="25"/>
  <c r="H74" i="25" s="1"/>
  <c r="I74" i="25"/>
  <c r="J74" i="25" s="1"/>
  <c r="K74" i="25"/>
  <c r="L74" i="25" s="1"/>
  <c r="M74" i="25"/>
  <c r="N74" i="25" s="1"/>
  <c r="C75" i="25"/>
  <c r="D75" i="25" s="1"/>
  <c r="E75" i="25"/>
  <c r="F75" i="25" s="1"/>
  <c r="G75" i="25"/>
  <c r="H75" i="25" s="1"/>
  <c r="I75" i="25"/>
  <c r="J75" i="25" s="1"/>
  <c r="K75" i="25"/>
  <c r="L75" i="25" s="1"/>
  <c r="M75" i="25"/>
  <c r="N75" i="25" s="1"/>
  <c r="C76" i="25"/>
  <c r="D76" i="25" s="1"/>
  <c r="E76" i="25"/>
  <c r="F76" i="25" s="1"/>
  <c r="G76" i="25"/>
  <c r="H76" i="25" s="1"/>
  <c r="I76" i="25"/>
  <c r="J76" i="25" s="1"/>
  <c r="K76" i="25"/>
  <c r="L76" i="25" s="1"/>
  <c r="M76" i="25"/>
  <c r="N76" i="25" s="1"/>
  <c r="C77" i="25"/>
  <c r="D77" i="25" s="1"/>
  <c r="E77" i="25"/>
  <c r="F77" i="25" s="1"/>
  <c r="G77" i="25"/>
  <c r="H77" i="25" s="1"/>
  <c r="I77" i="25"/>
  <c r="J77" i="25" s="1"/>
  <c r="K77" i="25"/>
  <c r="L77" i="25" s="1"/>
  <c r="M77" i="25"/>
  <c r="N77" i="25" s="1"/>
  <c r="C78" i="25"/>
  <c r="D78" i="25" s="1"/>
  <c r="E78" i="25"/>
  <c r="F78" i="25" s="1"/>
  <c r="G78" i="25"/>
  <c r="H78" i="25" s="1"/>
  <c r="I78" i="25"/>
  <c r="J78" i="25" s="1"/>
  <c r="K78" i="25"/>
  <c r="L78" i="25" s="1"/>
  <c r="M78" i="25"/>
  <c r="N78" i="25" s="1"/>
  <c r="C79" i="25"/>
  <c r="D79" i="25" s="1"/>
  <c r="E79" i="25"/>
  <c r="F79" i="25" s="1"/>
  <c r="G79" i="25"/>
  <c r="H79" i="25" s="1"/>
  <c r="I79" i="25"/>
  <c r="J79" i="25" s="1"/>
  <c r="K79" i="25"/>
  <c r="L79" i="25" s="1"/>
  <c r="M79" i="25"/>
  <c r="N79" i="25" s="1"/>
  <c r="B2" i="64"/>
  <c r="C17" i="64"/>
  <c r="C18" i="64"/>
  <c r="C19" i="64"/>
  <c r="F19" i="64" s="1"/>
  <c r="K44" i="39" s="1"/>
  <c r="C20" i="64"/>
  <c r="C21" i="64"/>
  <c r="C22" i="64"/>
  <c r="F22" i="64" s="1"/>
  <c r="K47" i="39" s="1"/>
  <c r="C23" i="64"/>
  <c r="F23" i="64" s="1"/>
  <c r="K48" i="39" s="1"/>
  <c r="C25" i="64"/>
  <c r="Q175" i="49" s="1"/>
  <c r="P175" i="49" s="1"/>
  <c r="C26" i="64"/>
  <c r="Q176" i="49" s="1"/>
  <c r="P176" i="49" s="1"/>
  <c r="C31" i="64"/>
  <c r="Q178" i="49" s="1"/>
  <c r="P178" i="49" s="1"/>
  <c r="C32" i="64"/>
  <c r="F32" i="64" s="1"/>
  <c r="K52" i="39" s="1"/>
  <c r="C33" i="64"/>
  <c r="C51" i="64"/>
  <c r="T12" i="89"/>
  <c r="W8" i="89" s="1"/>
  <c r="T13" i="89"/>
  <c r="W9" i="89" s="1"/>
  <c r="F60" i="89"/>
  <c r="G60" i="89"/>
  <c r="F61" i="89"/>
  <c r="G61" i="89"/>
  <c r="H61" i="89" s="1"/>
  <c r="F62" i="89"/>
  <c r="G62" i="89"/>
  <c r="H62" i="89" s="1"/>
  <c r="F63" i="89"/>
  <c r="G63" i="89"/>
  <c r="H63" i="89" s="1"/>
  <c r="F64" i="89"/>
  <c r="G64" i="89"/>
  <c r="H64" i="89" s="1"/>
  <c r="F65" i="89"/>
  <c r="G65" i="89"/>
  <c r="H65" i="89" s="1"/>
  <c r="F66" i="89"/>
  <c r="G66" i="89"/>
  <c r="H66" i="89" s="1"/>
  <c r="F67" i="89"/>
  <c r="G67" i="89"/>
  <c r="H67" i="89" s="1"/>
  <c r="F68" i="89"/>
  <c r="G68" i="89"/>
  <c r="H68" i="89" s="1"/>
  <c r="F69" i="89"/>
  <c r="G69" i="89"/>
  <c r="H69" i="89" s="1"/>
  <c r="F70" i="89"/>
  <c r="J77" i="89"/>
  <c r="AT197" i="89" s="1"/>
  <c r="J78" i="89"/>
  <c r="AT198" i="89" s="1"/>
  <c r="J79" i="89"/>
  <c r="J80" i="89"/>
  <c r="AT200" i="89" s="1"/>
  <c r="J81" i="89"/>
  <c r="J82" i="89"/>
  <c r="AT202" i="89" s="1"/>
  <c r="J83" i="89"/>
  <c r="AT203" i="89" s="1"/>
  <c r="J84" i="89"/>
  <c r="L84" i="89" s="1"/>
  <c r="T121" i="89"/>
  <c r="U121" i="89" s="1"/>
  <c r="AN171" i="89"/>
  <c r="AO171" i="89" s="1"/>
  <c r="K66" i="135" l="1"/>
  <c r="F28" i="135" s="1"/>
  <c r="H60" i="51"/>
  <c r="H29" i="51" s="1"/>
  <c r="C7" i="51"/>
  <c r="D18" i="64" s="1"/>
  <c r="AU198" i="89" s="1"/>
  <c r="Q14" i="49"/>
  <c r="P14" i="49" s="1"/>
  <c r="H57" i="51"/>
  <c r="H26" i="51" s="1"/>
  <c r="H65" i="51"/>
  <c r="H34" i="51" s="1"/>
  <c r="H59" i="51"/>
  <c r="H28" i="51" s="1"/>
  <c r="X66" i="135"/>
  <c r="F26" i="135" s="1"/>
  <c r="H67" i="51"/>
  <c r="H36" i="51" s="1"/>
  <c r="H56" i="51"/>
  <c r="H25" i="51" s="1"/>
  <c r="H63" i="51"/>
  <c r="H32" i="51" s="1"/>
  <c r="Q52" i="49"/>
  <c r="P52" i="49" s="1"/>
  <c r="H58" i="51"/>
  <c r="H27" i="51" s="1"/>
  <c r="C31" i="51"/>
  <c r="C74" i="25" s="1"/>
  <c r="D74" i="25" s="1"/>
  <c r="H62" i="51"/>
  <c r="H31" i="51" s="1"/>
  <c r="D25" i="78"/>
  <c r="I6" i="51"/>
  <c r="C10" i="51" s="1"/>
  <c r="D21" i="64" s="1"/>
  <c r="Q17" i="49" s="1"/>
  <c r="P17" i="49" s="1"/>
  <c r="C30" i="51"/>
  <c r="C73" i="25" s="1"/>
  <c r="D73" i="25" s="1"/>
  <c r="D80" i="25" s="1"/>
  <c r="K30" i="51" s="1"/>
  <c r="D18" i="50" s="1"/>
  <c r="AN167" i="89" s="1"/>
  <c r="AO167" i="89" s="1"/>
  <c r="H61" i="51"/>
  <c r="H30" i="51" s="1"/>
  <c r="C97" i="64"/>
  <c r="C96" i="64"/>
  <c r="C7" i="58"/>
  <c r="L19" i="58"/>
  <c r="C90" i="64"/>
  <c r="L18" i="58"/>
  <c r="C98" i="64"/>
  <c r="C84" i="64"/>
  <c r="G80" i="25"/>
  <c r="E80" i="25"/>
  <c r="J80" i="25"/>
  <c r="BL257" i="89"/>
  <c r="N80" i="25"/>
  <c r="K29" i="51" s="1"/>
  <c r="D16" i="50" s="1"/>
  <c r="O16" i="50" s="1"/>
  <c r="M16" i="50" s="1"/>
  <c r="F33" i="135"/>
  <c r="J93" i="89"/>
  <c r="K80" i="25"/>
  <c r="M80" i="25"/>
  <c r="G28" i="135"/>
  <c r="I15" i="135"/>
  <c r="D77" i="50" s="1"/>
  <c r="G33" i="135"/>
  <c r="D61" i="50"/>
  <c r="D65" i="50"/>
  <c r="D66" i="50"/>
  <c r="D63" i="50"/>
  <c r="D67" i="50"/>
  <c r="D64" i="50"/>
  <c r="J87" i="89"/>
  <c r="L21" i="58"/>
  <c r="J94" i="89"/>
  <c r="I80" i="25"/>
  <c r="L80" i="25"/>
  <c r="K31" i="51" s="1"/>
  <c r="J89" i="89"/>
  <c r="F31" i="64"/>
  <c r="T14" i="89"/>
  <c r="F18" i="64"/>
  <c r="K43" i="39" s="1"/>
  <c r="H80" i="25"/>
  <c r="K25" i="51" s="1"/>
  <c r="D12" i="50" s="1"/>
  <c r="BL252" i="89"/>
  <c r="N106" i="89"/>
  <c r="O106" i="89" s="1"/>
  <c r="J85" i="89"/>
  <c r="L79" i="89"/>
  <c r="AT199" i="89"/>
  <c r="J74" i="89"/>
  <c r="F26" i="64"/>
  <c r="J88" i="89"/>
  <c r="C14" i="64"/>
  <c r="AG15" i="89" s="1"/>
  <c r="F80" i="25"/>
  <c r="K28" i="51" s="1"/>
  <c r="D15" i="50" s="1"/>
  <c r="O15" i="50" s="1"/>
  <c r="M15" i="50" s="1"/>
  <c r="AV198" i="89"/>
  <c r="AU201" i="89"/>
  <c r="L77" i="89"/>
  <c r="BL251" i="89"/>
  <c r="AT201" i="89"/>
  <c r="F25" i="64"/>
  <c r="F20" i="64"/>
  <c r="K45" i="39" s="1"/>
  <c r="Q160" i="49"/>
  <c r="P160" i="49" s="1"/>
  <c r="D11" i="50"/>
  <c r="L81" i="89"/>
  <c r="L78" i="89"/>
  <c r="F21" i="64"/>
  <c r="K46" i="39" s="1"/>
  <c r="AU223" i="89"/>
  <c r="AE15" i="89"/>
  <c r="W10" i="89"/>
  <c r="Q179" i="49"/>
  <c r="P179" i="49" s="1"/>
  <c r="D10" i="50"/>
  <c r="C24" i="64"/>
  <c r="N103" i="89" l="1"/>
  <c r="O103" i="89" s="1"/>
  <c r="C80" i="25"/>
  <c r="Q161" i="49"/>
  <c r="P161" i="49" s="1"/>
  <c r="C6" i="64"/>
  <c r="AT211" i="89"/>
  <c r="J97" i="89"/>
  <c r="K85" i="89" s="1"/>
  <c r="K84" i="89" s="1"/>
  <c r="C107" i="39"/>
  <c r="G70" i="89"/>
  <c r="N15" i="78"/>
  <c r="C6" i="58"/>
  <c r="T120" i="89"/>
  <c r="Q89" i="49"/>
  <c r="P89" i="49" s="1"/>
  <c r="AU219" i="89"/>
  <c r="L93" i="89"/>
  <c r="AT209" i="89"/>
  <c r="BL259" i="89"/>
  <c r="BN259" i="89" s="1"/>
  <c r="O18" i="50"/>
  <c r="M18" i="50" s="1"/>
  <c r="Q91" i="49"/>
  <c r="P91" i="49" s="1"/>
  <c r="L87" i="89"/>
  <c r="AT207" i="89"/>
  <c r="AW207" i="89" s="1"/>
  <c r="Q231" i="49"/>
  <c r="P231" i="49" s="1"/>
  <c r="C88" i="64"/>
  <c r="Q229" i="49"/>
  <c r="P229" i="49" s="1"/>
  <c r="C86" i="64"/>
  <c r="Q230" i="49"/>
  <c r="P230" i="49" s="1"/>
  <c r="C87" i="64"/>
  <c r="Q242" i="49"/>
  <c r="P242" i="49" s="1"/>
  <c r="C99" i="64"/>
  <c r="Q232" i="49"/>
  <c r="P232" i="49" s="1"/>
  <c r="C89" i="64"/>
  <c r="Q226" i="49"/>
  <c r="P226" i="49" s="1"/>
  <c r="C83" i="64"/>
  <c r="Q228" i="49"/>
  <c r="P228" i="49" s="1"/>
  <c r="C85" i="64"/>
  <c r="Q88" i="49"/>
  <c r="P88" i="49" s="1"/>
  <c r="K26" i="51"/>
  <c r="D13" i="50" s="1"/>
  <c r="AN166" i="89" s="1"/>
  <c r="L89" i="89"/>
  <c r="L94" i="89"/>
  <c r="AT210" i="89"/>
  <c r="L88" i="89"/>
  <c r="AT208" i="89"/>
  <c r="AW208" i="89" s="1"/>
  <c r="AY208" i="89" s="1"/>
  <c r="AT194" i="89"/>
  <c r="L85" i="89"/>
  <c r="AT205" i="89"/>
  <c r="AT204" i="89" s="1"/>
  <c r="J86" i="89"/>
  <c r="AF15" i="89"/>
  <c r="E24" i="64"/>
  <c r="L9" i="89" s="1"/>
  <c r="F24" i="64"/>
  <c r="AW201" i="89"/>
  <c r="AY201" i="89" s="1"/>
  <c r="AV201" i="89"/>
  <c r="X9" i="89"/>
  <c r="Q85" i="49"/>
  <c r="P85" i="49" s="1"/>
  <c r="O12" i="50"/>
  <c r="M12" i="50" s="1"/>
  <c r="Q83" i="49"/>
  <c r="P83" i="49" s="1"/>
  <c r="Q84" i="49"/>
  <c r="P84" i="49" s="1"/>
  <c r="C34" i="64"/>
  <c r="C39" i="64" s="1"/>
  <c r="X8" i="89"/>
  <c r="K88" i="89" l="1"/>
  <c r="K94" i="89"/>
  <c r="AW209" i="89"/>
  <c r="AY209" i="89" s="1"/>
  <c r="K93" i="89"/>
  <c r="AW196" i="89"/>
  <c r="AY196" i="89" s="1"/>
  <c r="AW203" i="89"/>
  <c r="AW202" i="89"/>
  <c r="AW198" i="89"/>
  <c r="AY198" i="89" s="1"/>
  <c r="AW200" i="89"/>
  <c r="AY200" i="89" s="1"/>
  <c r="AW195" i="89"/>
  <c r="AY195" i="89" s="1"/>
  <c r="AW199" i="89"/>
  <c r="AY199" i="89" s="1"/>
  <c r="E15" i="64"/>
  <c r="E28" i="64"/>
  <c r="E32" i="64"/>
  <c r="E27" i="64"/>
  <c r="E29" i="64"/>
  <c r="E31" i="64"/>
  <c r="D4" i="50"/>
  <c r="D86" i="64" s="1"/>
  <c r="E86" i="64" s="1"/>
  <c r="E23" i="64"/>
  <c r="E22" i="64"/>
  <c r="E30" i="64"/>
  <c r="E25" i="64"/>
  <c r="E16" i="64"/>
  <c r="E26" i="64"/>
  <c r="E21" i="64"/>
  <c r="E18" i="64"/>
  <c r="C53" i="89"/>
  <c r="E20" i="64"/>
  <c r="E19" i="64"/>
  <c r="D85" i="64"/>
  <c r="E85" i="64" s="1"/>
  <c r="K90" i="89"/>
  <c r="K78" i="89"/>
  <c r="K76" i="89"/>
  <c r="K79" i="89"/>
  <c r="K77" i="89"/>
  <c r="K81" i="89"/>
  <c r="K82" i="89"/>
  <c r="K80" i="89"/>
  <c r="K75" i="89"/>
  <c r="K83" i="89"/>
  <c r="K92" i="89"/>
  <c r="K91" i="89"/>
  <c r="K89" i="89"/>
  <c r="K87" i="89"/>
  <c r="U120" i="89"/>
  <c r="T119" i="89"/>
  <c r="Q80" i="49"/>
  <c r="P80" i="49" s="1"/>
  <c r="M23" i="58"/>
  <c r="K32" i="51"/>
  <c r="Q86" i="49"/>
  <c r="P86" i="49" s="1"/>
  <c r="O13" i="50"/>
  <c r="M13" i="50" s="1"/>
  <c r="X10" i="89"/>
  <c r="AW210" i="89"/>
  <c r="AY210" i="89" s="1"/>
  <c r="AV210" i="89"/>
  <c r="AT206" i="89"/>
  <c r="AV206" i="89" s="1"/>
  <c r="D39" i="64"/>
  <c r="E39" i="64" s="1"/>
  <c r="L11" i="89" s="1"/>
  <c r="AD15" i="89"/>
  <c r="AO166" i="89"/>
  <c r="AU218" i="89"/>
  <c r="C46" i="64"/>
  <c r="AN183" i="89"/>
  <c r="P114" i="49"/>
  <c r="AY207" i="89"/>
  <c r="K86" i="89"/>
  <c r="J95" i="89"/>
  <c r="L86" i="89"/>
  <c r="D87" i="64" l="1"/>
  <c r="E87" i="64" s="1"/>
  <c r="D89" i="64"/>
  <c r="E89" i="64" s="1"/>
  <c r="D97" i="64"/>
  <c r="E97" i="64" s="1"/>
  <c r="E23" i="50"/>
  <c r="E40" i="50"/>
  <c r="Q144" i="49" s="1"/>
  <c r="P144" i="49" s="1"/>
  <c r="E42" i="50"/>
  <c r="E24" i="50"/>
  <c r="E41" i="50"/>
  <c r="Q145" i="49" s="1"/>
  <c r="P145" i="49" s="1"/>
  <c r="E34" i="50"/>
  <c r="Q138" i="49" s="1"/>
  <c r="P138" i="49" s="1"/>
  <c r="E21" i="50"/>
  <c r="E50" i="50"/>
  <c r="E17" i="50"/>
  <c r="E39" i="50"/>
  <c r="Q143" i="49" s="1"/>
  <c r="P143" i="49" s="1"/>
  <c r="E63" i="50"/>
  <c r="E75" i="50"/>
  <c r="AW221" i="89"/>
  <c r="AY221" i="89" s="1"/>
  <c r="D58" i="64"/>
  <c r="E58" i="64" s="1"/>
  <c r="D70" i="64"/>
  <c r="E70" i="64" s="1"/>
  <c r="AW227" i="89"/>
  <c r="AY227" i="89" s="1"/>
  <c r="D59" i="64"/>
  <c r="E59" i="64" s="1"/>
  <c r="D71" i="64"/>
  <c r="E71" i="64" s="1"/>
  <c r="AW228" i="89"/>
  <c r="AY228" i="89" s="1"/>
  <c r="E26" i="50"/>
  <c r="Q130" i="49" s="1"/>
  <c r="P130" i="49" s="1"/>
  <c r="D72" i="64"/>
  <c r="E72" i="64" s="1"/>
  <c r="AW233" i="89"/>
  <c r="AY233" i="89" s="1"/>
  <c r="D90" i="64"/>
  <c r="E90" i="64" s="1"/>
  <c r="D47" i="64"/>
  <c r="E47" i="64" s="1"/>
  <c r="E11" i="50"/>
  <c r="Q116" i="49" s="1"/>
  <c r="P116" i="49" s="1"/>
  <c r="E27" i="50"/>
  <c r="Q131" i="49" s="1"/>
  <c r="P131" i="49" s="1"/>
  <c r="E43" i="50"/>
  <c r="D45" i="64"/>
  <c r="E45" i="64" s="1"/>
  <c r="AW231" i="89"/>
  <c r="AY231" i="89" s="1"/>
  <c r="D88" i="64"/>
  <c r="E88" i="64" s="1"/>
  <c r="E10" i="50"/>
  <c r="Q115" i="49" s="1"/>
  <c r="P115" i="49" s="1"/>
  <c r="E45" i="50"/>
  <c r="D80" i="64"/>
  <c r="E80" i="64" s="1"/>
  <c r="D99" i="64"/>
  <c r="E99" i="64" s="1"/>
  <c r="E14" i="50"/>
  <c r="E32" i="50"/>
  <c r="Q136" i="49" s="1"/>
  <c r="P136" i="49" s="1"/>
  <c r="E48" i="50"/>
  <c r="E76" i="50"/>
  <c r="E33" i="50"/>
  <c r="Q137" i="49" s="1"/>
  <c r="P137" i="49" s="1"/>
  <c r="E49" i="50"/>
  <c r="E64" i="50"/>
  <c r="E38" i="50"/>
  <c r="Q142" i="49" s="1"/>
  <c r="P142" i="49" s="1"/>
  <c r="E66" i="50"/>
  <c r="E29" i="50"/>
  <c r="E47" i="50"/>
  <c r="D63" i="64"/>
  <c r="E63" i="64" s="1"/>
  <c r="D48" i="64"/>
  <c r="E48" i="64" s="1"/>
  <c r="D54" i="64"/>
  <c r="E54" i="64" s="1"/>
  <c r="D64" i="64"/>
  <c r="E64" i="64" s="1"/>
  <c r="D84" i="64"/>
  <c r="E84" i="64" s="1"/>
  <c r="D51" i="64"/>
  <c r="E51" i="64" s="1"/>
  <c r="D65" i="64"/>
  <c r="E65" i="64" s="1"/>
  <c r="D98" i="64"/>
  <c r="E98" i="64" s="1"/>
  <c r="AW234" i="89"/>
  <c r="AY234" i="89" s="1"/>
  <c r="D62" i="64"/>
  <c r="E62" i="64" s="1"/>
  <c r="AW225" i="89"/>
  <c r="AY225" i="89" s="1"/>
  <c r="D69" i="64"/>
  <c r="E69" i="64" s="1"/>
  <c r="AW230" i="89"/>
  <c r="AY230" i="89" s="1"/>
  <c r="AW220" i="89"/>
  <c r="AY220" i="89" s="1"/>
  <c r="AW223" i="89"/>
  <c r="AY223" i="89" s="1"/>
  <c r="E13" i="50"/>
  <c r="E12" i="50"/>
  <c r="E68" i="50"/>
  <c r="E28" i="50"/>
  <c r="Q132" i="49" s="1"/>
  <c r="P132" i="49" s="1"/>
  <c r="D57" i="64"/>
  <c r="E57" i="64" s="1"/>
  <c r="D60" i="64"/>
  <c r="E60" i="64" s="1"/>
  <c r="D61" i="64"/>
  <c r="E61" i="64" s="1"/>
  <c r="D52" i="64"/>
  <c r="E52" i="64" s="1"/>
  <c r="D55" i="64"/>
  <c r="E55" i="64" s="1"/>
  <c r="D49" i="64"/>
  <c r="E49" i="64" s="1"/>
  <c r="E18" i="50"/>
  <c r="E16" i="50"/>
  <c r="AW219" i="89"/>
  <c r="AY219" i="89" s="1"/>
  <c r="E19" i="50"/>
  <c r="E36" i="50"/>
  <c r="Q140" i="49" s="1"/>
  <c r="P140" i="49" s="1"/>
  <c r="E58" i="50"/>
  <c r="E22" i="50"/>
  <c r="E37" i="50"/>
  <c r="Q141" i="49" s="1"/>
  <c r="P141" i="49" s="1"/>
  <c r="E59" i="50"/>
  <c r="E74" i="50"/>
  <c r="E46" i="50"/>
  <c r="E9" i="50"/>
  <c r="AW217" i="89" s="1"/>
  <c r="AY217" i="89" s="1"/>
  <c r="E35" i="50"/>
  <c r="Q139" i="49" s="1"/>
  <c r="P139" i="49" s="1"/>
  <c r="E51" i="50"/>
  <c r="D73" i="64"/>
  <c r="E73" i="64" s="1"/>
  <c r="D50" i="64"/>
  <c r="E50" i="64" s="1"/>
  <c r="D56" i="64"/>
  <c r="E56" i="64" s="1"/>
  <c r="D66" i="64"/>
  <c r="E66" i="64" s="1"/>
  <c r="D96" i="64"/>
  <c r="E96" i="64" s="1"/>
  <c r="D53" i="64"/>
  <c r="E53" i="64" s="1"/>
  <c r="D67" i="64"/>
  <c r="E67" i="64" s="1"/>
  <c r="AW224" i="89"/>
  <c r="AY224" i="89" s="1"/>
  <c r="E67" i="50"/>
  <c r="D68" i="64"/>
  <c r="E68" i="64" s="1"/>
  <c r="AW229" i="89"/>
  <c r="AY229" i="89" s="1"/>
  <c r="D82" i="64"/>
  <c r="E82" i="64" s="1"/>
  <c r="E65" i="50"/>
  <c r="AW222" i="89"/>
  <c r="AY222" i="89" s="1"/>
  <c r="E15" i="50"/>
  <c r="E25" i="50"/>
  <c r="E44" i="50"/>
  <c r="E60" i="50"/>
  <c r="E62" i="50"/>
  <c r="E20" i="50"/>
  <c r="E61" i="50"/>
  <c r="D81" i="64"/>
  <c r="E81" i="64" s="1"/>
  <c r="AW232" i="89"/>
  <c r="AY232" i="89" s="1"/>
  <c r="AW226" i="89"/>
  <c r="AY226" i="89" s="1"/>
  <c r="D83" i="64"/>
  <c r="E83" i="64" s="1"/>
  <c r="K74" i="89"/>
  <c r="F39" i="64"/>
  <c r="O10" i="51"/>
  <c r="Q154" i="49"/>
  <c r="P154" i="49" s="1"/>
  <c r="Q187" i="49"/>
  <c r="P187" i="49" s="1"/>
  <c r="Q81" i="49"/>
  <c r="P81" i="49" s="1"/>
  <c r="AD16" i="89"/>
  <c r="AU213" i="89"/>
  <c r="U8" i="89" s="1"/>
  <c r="AW206" i="89"/>
  <c r="AT212" i="89"/>
  <c r="AT213" i="89" s="1"/>
  <c r="D46" i="64"/>
  <c r="E46" i="64" s="1"/>
  <c r="C44" i="64"/>
  <c r="D44" i="64" s="1"/>
  <c r="E44" i="64" s="1"/>
  <c r="AU235" i="89"/>
  <c r="AW218" i="89"/>
  <c r="J96" i="89"/>
  <c r="K96" i="89" s="1"/>
  <c r="K95" i="89"/>
  <c r="N20" i="50" l="1"/>
  <c r="P20" i="50"/>
  <c r="Q125" i="49"/>
  <c r="P125" i="49" s="1"/>
  <c r="Q120" i="49"/>
  <c r="P120" i="49" s="1"/>
  <c r="P15" i="50"/>
  <c r="N15" i="50"/>
  <c r="N18" i="50"/>
  <c r="P18" i="50"/>
  <c r="Q123" i="49"/>
  <c r="P123" i="49" s="1"/>
  <c r="Q119" i="49"/>
  <c r="P119" i="49" s="1"/>
  <c r="N14" i="50"/>
  <c r="P14" i="50"/>
  <c r="Q126" i="49"/>
  <c r="P126" i="49" s="1"/>
  <c r="P21" i="50"/>
  <c r="N21" i="50"/>
  <c r="P19" i="50"/>
  <c r="N19" i="50"/>
  <c r="Q124" i="49"/>
  <c r="P124" i="49" s="1"/>
  <c r="N12" i="50"/>
  <c r="Q117" i="49"/>
  <c r="P117" i="49" s="1"/>
  <c r="P12" i="50"/>
  <c r="P22" i="50"/>
  <c r="N22" i="50"/>
  <c r="Q127" i="49"/>
  <c r="P127" i="49" s="1"/>
  <c r="P13" i="50"/>
  <c r="N13" i="50"/>
  <c r="Q118" i="49"/>
  <c r="P118" i="49" s="1"/>
  <c r="Q122" i="49"/>
  <c r="P122" i="49" s="1"/>
  <c r="N17" i="50"/>
  <c r="P17" i="50"/>
  <c r="Q129" i="49"/>
  <c r="P129" i="49" s="1"/>
  <c r="N25" i="50"/>
  <c r="P25" i="50"/>
  <c r="Q121" i="49"/>
  <c r="P121" i="49" s="1"/>
  <c r="P16" i="50"/>
  <c r="N16" i="50"/>
  <c r="N24" i="50"/>
  <c r="P24" i="50"/>
  <c r="AW213" i="89"/>
  <c r="AY213" i="89" s="1"/>
  <c r="AV213" i="89"/>
  <c r="AY206" i="89"/>
  <c r="K97" i="89"/>
  <c r="AY218" i="89"/>
  <c r="AW235" i="89"/>
  <c r="C485" i="85"/>
  <c r="C34" i="85"/>
  <c r="C774" i="85"/>
  <c r="C88" i="85"/>
  <c r="C886" i="85"/>
  <c r="C293" i="85"/>
  <c r="C1121" i="85"/>
  <c r="C906" i="85"/>
  <c r="C111" i="85"/>
  <c r="C420" i="85"/>
  <c r="C933" i="85"/>
  <c r="C27" i="85"/>
  <c r="C287" i="85"/>
  <c r="C147" i="85"/>
  <c r="C383" i="85"/>
  <c r="C32" i="85"/>
  <c r="C42" i="85"/>
  <c r="C335" i="85"/>
  <c r="C570" i="85"/>
  <c r="C929" i="85"/>
  <c r="C276" i="85"/>
  <c r="C710" i="85"/>
  <c r="C77" i="85"/>
  <c r="C153" i="85"/>
  <c r="C685" i="85"/>
  <c r="C309" i="85"/>
  <c r="C832" i="85"/>
  <c r="C1664" i="85"/>
  <c r="C1668" i="85"/>
  <c r="C706" i="85"/>
  <c r="C976" i="85"/>
  <c r="C396" i="85"/>
  <c r="C343" i="85"/>
  <c r="C561" i="85"/>
  <c r="C414" i="85"/>
  <c r="C845" i="85"/>
  <c r="C822" i="85"/>
  <c r="C357" i="85"/>
  <c r="C100" i="85"/>
  <c r="C586" i="85"/>
  <c r="C212" i="85"/>
  <c r="C606" i="85"/>
  <c r="C253" i="85"/>
  <c r="C43" i="85"/>
  <c r="C178" i="85"/>
  <c r="C174" i="85"/>
  <c r="C861" i="85"/>
  <c r="C161" i="85"/>
  <c r="C224" i="85"/>
  <c r="C713" i="85"/>
  <c r="C506" i="85"/>
  <c r="C1017" i="85"/>
  <c r="C1133" i="85"/>
  <c r="C1225" i="85"/>
  <c r="C388" i="85"/>
  <c r="C371" i="85"/>
  <c r="C130" i="85"/>
  <c r="C989" i="85"/>
  <c r="C759" i="85"/>
  <c r="C1972" i="85"/>
  <c r="C1232" i="85"/>
  <c r="C1323" i="85"/>
  <c r="C505" i="85"/>
  <c r="C960" i="85"/>
  <c r="C1034" i="85"/>
  <c r="C501" i="85"/>
  <c r="C496" i="85"/>
  <c r="C1245" i="85"/>
  <c r="C1717" i="85"/>
  <c r="C854" i="85"/>
  <c r="C285" i="85"/>
  <c r="C582" i="85"/>
  <c r="C1369" i="85"/>
  <c r="C334" i="85"/>
  <c r="C180" i="85"/>
  <c r="C726" i="85"/>
  <c r="C825" i="85"/>
  <c r="C321" i="85"/>
  <c r="C445" i="85"/>
  <c r="C1504" i="85"/>
  <c r="C1069" i="85"/>
  <c r="C7" i="85"/>
  <c r="C318" i="85"/>
  <c r="C121" i="85"/>
  <c r="C315" i="85"/>
  <c r="C1261" i="85"/>
  <c r="C670" i="85"/>
  <c r="C80" i="85"/>
  <c r="C1189" i="85"/>
  <c r="C143" i="85"/>
  <c r="C1054" i="85"/>
  <c r="C17" i="85"/>
  <c r="C1125" i="85"/>
  <c r="C1568" i="85"/>
  <c r="C640" i="85"/>
  <c r="C1175" i="85"/>
  <c r="C858" i="85"/>
  <c r="C29" i="85"/>
  <c r="C255" i="85"/>
  <c r="C1321" i="85"/>
  <c r="C681" i="85"/>
  <c r="C256" i="85"/>
  <c r="C1353" i="85"/>
  <c r="C272" i="85"/>
  <c r="C431" i="85"/>
  <c r="C316" i="85"/>
  <c r="C758" i="85"/>
  <c r="C1209" i="85"/>
  <c r="C985" i="85"/>
  <c r="C139" i="85"/>
  <c r="C937" i="85"/>
  <c r="C873" i="85"/>
  <c r="C46" i="85"/>
  <c r="C120" i="85"/>
  <c r="C415" i="85"/>
  <c r="C813" i="85"/>
  <c r="C191" i="85"/>
  <c r="C123" i="85"/>
  <c r="C1129" i="85"/>
  <c r="C114" i="85"/>
  <c r="C6" i="85"/>
  <c r="C1178" i="85"/>
  <c r="C1676" i="85"/>
  <c r="C1226" i="85"/>
  <c r="C542" i="85"/>
  <c r="C1306" i="85"/>
  <c r="C1540" i="85"/>
  <c r="C299" i="85"/>
  <c r="C377" i="85"/>
  <c r="C1085" i="85"/>
  <c r="C203" i="85"/>
  <c r="C242" i="85"/>
  <c r="C909" i="85"/>
  <c r="C649" i="85"/>
  <c r="C613" i="85"/>
  <c r="C164" i="85"/>
  <c r="C650" i="85"/>
  <c r="C950" i="85"/>
  <c r="C1086" i="85"/>
  <c r="C381" i="85"/>
  <c r="C794" i="85"/>
  <c r="C635" i="85"/>
  <c r="C922" i="85"/>
  <c r="C311" i="85"/>
  <c r="C954" i="85"/>
  <c r="C733" i="85"/>
  <c r="C1005" i="85"/>
  <c r="C260" i="85"/>
  <c r="C550" i="85"/>
  <c r="C1309" i="85"/>
  <c r="C188" i="85"/>
  <c r="C938" i="85"/>
  <c r="C175" i="85"/>
  <c r="C148" i="85"/>
  <c r="C666" i="85"/>
  <c r="C1079" i="85"/>
  <c r="C932" i="85"/>
  <c r="C1351" i="85"/>
  <c r="C262" i="85"/>
  <c r="C1185" i="85"/>
  <c r="C494" i="85"/>
  <c r="C745" i="85"/>
  <c r="C404" i="85"/>
  <c r="C176" i="85"/>
  <c r="C589" i="85"/>
  <c r="C585" i="85"/>
  <c r="C1394" i="85"/>
  <c r="C239" i="85"/>
  <c r="C389" i="85"/>
  <c r="C125" i="85"/>
  <c r="C289" i="85"/>
  <c r="C37" i="85"/>
  <c r="C277" i="85"/>
  <c r="C209" i="85"/>
  <c r="C348" i="85"/>
  <c r="C741" i="85"/>
  <c r="C969" i="85"/>
  <c r="C453" i="85"/>
  <c r="C476" i="85"/>
  <c r="C324" i="85"/>
  <c r="C870" i="85"/>
  <c r="C133" i="85"/>
  <c r="C40" i="85"/>
  <c r="C518" i="85"/>
  <c r="C432" i="85"/>
  <c r="C156" i="85"/>
  <c r="C469" i="85"/>
  <c r="C1383" i="85"/>
  <c r="C810" i="85"/>
  <c r="C987" i="85"/>
  <c r="C1018" i="85"/>
  <c r="C830" i="85"/>
  <c r="C10" i="85"/>
  <c r="C705" i="85"/>
  <c r="C235" i="85"/>
  <c r="C9" i="85"/>
  <c r="C957" i="85"/>
  <c r="C557" i="85"/>
  <c r="C132" i="85"/>
  <c r="C89" i="85"/>
  <c r="C369" i="85"/>
  <c r="C1130" i="85"/>
  <c r="C325" i="85"/>
  <c r="C319" i="85"/>
  <c r="C614" i="85"/>
  <c r="C630" i="85"/>
  <c r="C1081" i="85"/>
  <c r="C23" i="85"/>
  <c r="C449" i="85"/>
  <c r="C244" i="85"/>
  <c r="C790" i="85"/>
  <c r="C1257" i="85"/>
  <c r="C85" i="85"/>
  <c r="C869" i="85"/>
  <c r="C900" i="85"/>
  <c r="C412" i="85"/>
  <c r="C601" i="85"/>
  <c r="C480" i="85"/>
  <c r="C1696" i="85"/>
  <c r="C1370" i="85"/>
  <c r="C379" i="85"/>
  <c r="C237" i="85"/>
  <c r="C754" i="85"/>
  <c r="C1800" i="85"/>
  <c r="C673" i="85"/>
  <c r="C701" i="85"/>
  <c r="C645" i="85"/>
  <c r="C448" i="85"/>
  <c r="C367" i="85"/>
  <c r="C475" i="85"/>
  <c r="C59" i="85"/>
  <c r="C243" i="85"/>
  <c r="C1281" i="85"/>
  <c r="C225" i="85"/>
  <c r="C181" i="85"/>
  <c r="C249" i="85"/>
  <c r="C223" i="85"/>
  <c r="C717" i="85"/>
  <c r="C81" i="85"/>
  <c r="C336" i="85"/>
  <c r="C678" i="85"/>
  <c r="C517" i="85"/>
  <c r="C1405" i="85"/>
  <c r="C70" i="85"/>
  <c r="C538" i="85"/>
  <c r="C84" i="85"/>
  <c r="C941" i="85"/>
  <c r="C320" i="85"/>
  <c r="C290" i="85"/>
  <c r="C90" i="85"/>
  <c r="C1844" i="85"/>
  <c r="C1216" i="85"/>
  <c r="C881" i="85"/>
  <c r="C438" i="85"/>
  <c r="C857" i="85"/>
  <c r="C577" i="85"/>
  <c r="C633" i="85"/>
  <c r="C513" i="85"/>
  <c r="C41" i="85"/>
  <c r="C798" i="85"/>
  <c r="C1289" i="85"/>
  <c r="C427" i="85"/>
  <c r="C190" i="85"/>
  <c r="C303" i="85"/>
  <c r="C497" i="85"/>
  <c r="C1145" i="85"/>
  <c r="C1241" i="85"/>
  <c r="C158" i="85"/>
  <c r="C617" i="85"/>
  <c r="C8" i="85"/>
  <c r="C698" i="85"/>
  <c r="C372" i="85"/>
  <c r="C399" i="85"/>
  <c r="C26" i="85"/>
  <c r="C197" i="85"/>
  <c r="C127" i="85"/>
  <c r="C5" i="85"/>
  <c r="C537" i="85"/>
  <c r="C252" i="85"/>
  <c r="C1098" i="85"/>
  <c r="C965" i="85"/>
  <c r="C1652" i="85"/>
  <c r="C1744" i="85"/>
  <c r="C567" i="85"/>
  <c r="C1194" i="85"/>
  <c r="C1260" i="85"/>
  <c r="C185" i="85"/>
  <c r="C634" i="85"/>
  <c r="C353" i="85"/>
  <c r="C312" i="85"/>
  <c r="C384" i="85"/>
  <c r="C926" i="85"/>
  <c r="C961" i="85"/>
  <c r="C925" i="85"/>
  <c r="C446" i="85"/>
  <c r="C998" i="85"/>
  <c r="C897" i="85"/>
  <c r="C248" i="85"/>
  <c r="C275" i="85"/>
  <c r="C1213" i="85"/>
  <c r="C349" i="85"/>
  <c r="C1824" i="85"/>
  <c r="C1117" i="85"/>
  <c r="C271" i="85"/>
  <c r="C463" i="85"/>
  <c r="C306" i="85"/>
  <c r="C805" i="85"/>
  <c r="C902" i="85"/>
  <c r="C401" i="85"/>
  <c r="C286" i="85"/>
  <c r="C31" i="85"/>
  <c r="C39" i="85"/>
  <c r="C1326" i="85"/>
  <c r="C1581" i="85"/>
  <c r="C1249" i="85"/>
  <c r="C489" i="85"/>
  <c r="C843" i="85"/>
  <c r="C145" i="85"/>
  <c r="C112" i="85"/>
  <c r="C893" i="85"/>
  <c r="C609" i="85"/>
  <c r="C842" i="85"/>
  <c r="C341" i="85"/>
  <c r="C284" i="85"/>
  <c r="C833" i="85"/>
  <c r="C1338" i="85"/>
  <c r="C874" i="85"/>
  <c r="C973" i="85"/>
  <c r="C113" i="85"/>
  <c r="C1153" i="85"/>
  <c r="C152" i="85"/>
  <c r="C541" i="85"/>
  <c r="C400" i="85"/>
  <c r="C160" i="85"/>
  <c r="C433" i="85"/>
  <c r="C1181" i="85"/>
  <c r="C211" i="85"/>
  <c r="C809" i="85"/>
  <c r="C292" i="85"/>
  <c r="C129" i="85"/>
  <c r="C215" i="85"/>
  <c r="C36" i="85"/>
  <c r="C247" i="85"/>
  <c r="C1118" i="85"/>
  <c r="C1093" i="85"/>
  <c r="C1070" i="85"/>
  <c r="C1083" i="85"/>
  <c r="C715" i="85"/>
  <c r="C1812" i="85"/>
  <c r="C481" i="85"/>
  <c r="C495" i="85"/>
  <c r="C730" i="85"/>
  <c r="C192" i="85"/>
  <c r="C279" i="85"/>
  <c r="C339" i="85"/>
  <c r="C484" i="85"/>
  <c r="C970" i="85"/>
  <c r="C117" i="85"/>
  <c r="C310" i="85"/>
  <c r="C901" i="85"/>
  <c r="C395" i="85"/>
  <c r="C806" i="85"/>
  <c r="C602" i="85"/>
  <c r="C308" i="85"/>
  <c r="C217" i="85"/>
  <c r="C96" i="85"/>
  <c r="C605" i="85"/>
  <c r="C778" i="85"/>
  <c r="C452" i="85"/>
  <c r="C714" i="85"/>
  <c r="C22" i="85"/>
  <c r="C682" i="85"/>
  <c r="C553" i="85"/>
  <c r="C1162" i="85"/>
  <c r="C408" i="85"/>
  <c r="C259" i="85"/>
  <c r="C756" i="85"/>
  <c r="C227" i="85"/>
  <c r="C1709" i="85"/>
  <c r="C1191" i="85"/>
  <c r="C1293" i="85"/>
  <c r="C435" i="85"/>
  <c r="C270" i="85"/>
  <c r="C742" i="85"/>
  <c r="C144" i="85"/>
  <c r="C417" i="85"/>
  <c r="C280" i="85"/>
  <c r="C504" i="85"/>
  <c r="C206" i="85"/>
  <c r="C1033" i="85"/>
  <c r="C171" i="85"/>
  <c r="C775" i="85"/>
  <c r="C151" i="85"/>
  <c r="C1177" i="85"/>
  <c r="C801" i="85"/>
  <c r="C1305" i="85"/>
  <c r="C459" i="85"/>
  <c r="C498" i="85"/>
  <c r="C1097" i="85"/>
  <c r="C439" i="85"/>
  <c r="C826" i="85"/>
  <c r="C193" i="85"/>
  <c r="C677" i="85"/>
  <c r="C905" i="85"/>
  <c r="C187" i="85"/>
  <c r="C1193" i="85"/>
  <c r="C363" i="85"/>
  <c r="C398" i="85"/>
  <c r="C1124" i="85"/>
  <c r="C1335" i="85"/>
  <c r="C13" i="85"/>
  <c r="C1623" i="85"/>
  <c r="C1716" i="85"/>
  <c r="C483" i="85"/>
  <c r="C392" i="85"/>
  <c r="C267" i="85"/>
  <c r="C437" i="85"/>
  <c r="C97" i="85"/>
  <c r="C115" i="85"/>
  <c r="C313" i="85"/>
  <c r="C573" i="85"/>
  <c r="C416" i="85"/>
  <c r="C669" i="85"/>
  <c r="C1856" i="85"/>
  <c r="C841" i="85"/>
  <c r="C304" i="85"/>
  <c r="C491" i="85"/>
  <c r="C986" i="85"/>
  <c r="C19" i="85"/>
  <c r="C1273" i="85"/>
  <c r="C737" i="85"/>
  <c r="C966" i="85"/>
  <c r="C762" i="85"/>
  <c r="C257" i="85"/>
  <c r="C1149" i="85"/>
  <c r="C646" i="85"/>
  <c r="C165" i="85"/>
  <c r="C411" i="85"/>
  <c r="C1640" i="85"/>
  <c r="C877" i="85"/>
  <c r="C1970" i="85"/>
  <c r="C21" i="85"/>
  <c r="C1063" i="85"/>
  <c r="C45" i="85"/>
  <c r="C1990" i="85"/>
  <c r="C689" i="85"/>
  <c r="C471" i="85"/>
  <c r="C1277" i="85"/>
  <c r="C1049" i="85"/>
  <c r="C525" i="85"/>
  <c r="C385" i="85"/>
  <c r="C444" i="85"/>
  <c r="C1025" i="85"/>
  <c r="C441" i="85"/>
  <c r="C566" i="85"/>
  <c r="C134" i="85"/>
  <c r="C637" i="85"/>
  <c r="C769" i="85"/>
  <c r="C229" i="85"/>
  <c r="C440" i="85"/>
  <c r="C405" i="85"/>
  <c r="C345" i="85"/>
  <c r="C184" i="85"/>
  <c r="C177" i="85"/>
  <c r="C468" i="85"/>
  <c r="C155" i="85"/>
  <c r="C86" i="85"/>
  <c r="C522" i="85"/>
  <c r="C797" i="85"/>
  <c r="C355" i="85"/>
  <c r="C307" i="85"/>
  <c r="C331" i="85"/>
  <c r="C625" i="85"/>
  <c r="C1412" i="85"/>
  <c r="C30" i="85"/>
  <c r="C885" i="85"/>
  <c r="C1002" i="85"/>
  <c r="C1084" i="85"/>
  <c r="C1161" i="85"/>
  <c r="C159" i="85"/>
  <c r="C142" i="85"/>
  <c r="C521" i="85"/>
  <c r="C838" i="85"/>
  <c r="C641" i="85"/>
  <c r="C694" i="85"/>
  <c r="C25" i="85"/>
  <c r="C124" i="85"/>
  <c r="C228" i="85"/>
  <c r="C953" i="85"/>
  <c r="C370" i="85"/>
  <c r="C473" i="85"/>
  <c r="C376" i="85"/>
  <c r="C375" i="85"/>
  <c r="C576" i="85"/>
  <c r="C216" i="85"/>
  <c r="C1325" i="85"/>
  <c r="C621" i="85"/>
  <c r="C430" i="85"/>
  <c r="C64" i="85"/>
  <c r="C447" i="85"/>
  <c r="C380" i="85"/>
  <c r="C337" i="85"/>
  <c r="C464" i="85"/>
  <c r="C982" i="85"/>
  <c r="C1168" i="85"/>
  <c r="C571" i="85"/>
  <c r="C1408" i="85"/>
  <c r="C763" i="85"/>
  <c r="C268" i="85"/>
  <c r="C804" i="85"/>
  <c r="C1035" i="85"/>
  <c r="C407" i="85"/>
  <c r="C95" i="85"/>
  <c r="C478" i="85"/>
  <c r="C1015" i="85"/>
  <c r="C326" i="85"/>
  <c r="C1217" i="85"/>
  <c r="C821" i="85"/>
  <c r="C99" i="85"/>
  <c r="C403" i="85"/>
  <c r="C977" i="85"/>
  <c r="C53" i="85"/>
  <c r="C1453" i="85"/>
  <c r="C1159" i="85"/>
  <c r="C291" i="85"/>
  <c r="C1440" i="85"/>
  <c r="C470" i="85"/>
  <c r="C1757" i="85"/>
  <c r="C1104" i="85"/>
  <c r="C1322" i="85"/>
  <c r="C1400" i="85"/>
  <c r="C916" i="85"/>
  <c r="C1725" i="85"/>
  <c r="C1238" i="85"/>
  <c r="C361" i="85"/>
  <c r="C1229" i="85"/>
  <c r="C1524" i="85"/>
  <c r="C274" i="85"/>
  <c r="C1518" i="85"/>
  <c r="C812" i="85"/>
  <c r="C644" i="85"/>
  <c r="C352" i="85"/>
  <c r="C629" i="85"/>
  <c r="C598" i="85"/>
  <c r="C583" i="85"/>
  <c r="C1152" i="85"/>
  <c r="C1469" i="85"/>
  <c r="C734" i="85"/>
  <c r="C1019" i="85"/>
  <c r="C429" i="85"/>
  <c r="C157" i="85"/>
  <c r="C653" i="85"/>
  <c r="C1280" i="85"/>
  <c r="C923" i="85"/>
  <c r="C1007" i="85"/>
  <c r="C1179" i="85"/>
  <c r="C930" i="85"/>
  <c r="C1060" i="85"/>
  <c r="C777" i="85"/>
  <c r="C2000" i="85"/>
  <c r="C1024" i="85"/>
  <c r="C1114" i="85"/>
  <c r="C1208" i="85"/>
  <c r="C1838" i="85"/>
  <c r="C1943" i="85"/>
  <c r="C944" i="85"/>
  <c r="C1840" i="85"/>
  <c r="C1040" i="85"/>
  <c r="C656" i="85"/>
  <c r="C631" i="85"/>
  <c r="C1100" i="85"/>
  <c r="C1330" i="85"/>
  <c r="C1519" i="85"/>
  <c r="C1722" i="85"/>
  <c r="C749" i="85"/>
  <c r="C477" i="85"/>
  <c r="C903" i="85"/>
  <c r="C283" i="85"/>
  <c r="C163" i="85"/>
  <c r="C523" i="85"/>
  <c r="C912" i="85"/>
  <c r="C1613" i="85"/>
  <c r="C351" i="85"/>
  <c r="C126" i="85"/>
  <c r="C1872" i="85"/>
  <c r="C1332" i="85"/>
  <c r="C757" i="85"/>
  <c r="C1775" i="85"/>
  <c r="C1076" i="85"/>
  <c r="C743" i="85"/>
  <c r="C72" i="85"/>
  <c r="C667" i="85"/>
  <c r="C939" i="85"/>
  <c r="C222" i="85"/>
  <c r="C1167" i="85"/>
  <c r="C1859" i="85"/>
  <c r="C927" i="85"/>
  <c r="C1691" i="85"/>
  <c r="C1291" i="85"/>
  <c r="C864" i="85"/>
  <c r="C1234" i="85"/>
  <c r="C951" i="85"/>
  <c r="C1850" i="85"/>
  <c r="C1892" i="85"/>
  <c r="C1868" i="85"/>
  <c r="C1107" i="85"/>
  <c r="C386" i="85"/>
  <c r="C116" i="85"/>
  <c r="C282" i="85"/>
  <c r="C581" i="85"/>
  <c r="C651" i="85"/>
  <c r="C1221" i="85"/>
  <c r="C340" i="85"/>
  <c r="C1960" i="85"/>
  <c r="C169" i="85"/>
  <c r="C273" i="85"/>
  <c r="C1327" i="85"/>
  <c r="C1700" i="85"/>
  <c r="C999" i="85"/>
  <c r="C1115" i="85"/>
  <c r="C619" i="85"/>
  <c r="C1157" i="85"/>
  <c r="C1230" i="85"/>
  <c r="C1728" i="85"/>
  <c r="C1936" i="85"/>
  <c r="C1520" i="85"/>
  <c r="C508" i="85"/>
  <c r="C780" i="85"/>
  <c r="C118" i="85"/>
  <c r="C1902" i="85"/>
  <c r="C1428" i="85"/>
  <c r="C702" i="85"/>
  <c r="C419" i="85"/>
  <c r="C1204" i="85"/>
  <c r="C1939" i="85"/>
  <c r="C150" i="85"/>
  <c r="C1898" i="85"/>
  <c r="C865" i="85"/>
  <c r="C1684" i="85"/>
  <c r="C189" i="85"/>
  <c r="C454" i="85"/>
  <c r="C1523" i="85"/>
  <c r="C752" i="85"/>
  <c r="C820" i="85"/>
  <c r="C1495" i="85"/>
  <c r="C1021" i="85"/>
  <c r="C1106" i="85"/>
  <c r="C907" i="85"/>
  <c r="C1047" i="85"/>
  <c r="C1834" i="85"/>
  <c r="C1539" i="85"/>
  <c r="C1441" i="85"/>
  <c r="C604" i="85"/>
  <c r="C1946" i="85"/>
  <c r="C210" i="85"/>
  <c r="C1251" i="85"/>
  <c r="C924" i="85"/>
  <c r="C1587" i="85"/>
  <c r="C1269" i="85"/>
  <c r="C1957" i="85"/>
  <c r="C298" i="85"/>
  <c r="C1418" i="85"/>
  <c r="C1105" i="85"/>
  <c r="C138" i="85"/>
  <c r="C1974" i="85"/>
  <c r="C1180" i="85"/>
  <c r="C1889" i="85"/>
  <c r="C1401" i="85"/>
  <c r="C1747" i="85"/>
  <c r="C1638" i="85"/>
  <c r="C1141" i="85"/>
  <c r="C1602" i="85"/>
  <c r="C1455" i="85"/>
  <c r="C1282" i="85"/>
  <c r="C1395" i="85"/>
  <c r="C1247" i="85"/>
  <c r="C1693" i="85"/>
  <c r="C1788" i="85"/>
  <c r="C1203" i="85"/>
  <c r="C1008" i="85"/>
  <c r="C639" i="85"/>
  <c r="C1380" i="85"/>
  <c r="C1267" i="85"/>
  <c r="C1343" i="85"/>
  <c r="C668" i="85"/>
  <c r="C1973" i="85"/>
  <c r="C657" i="85"/>
  <c r="C1944" i="85"/>
  <c r="C1092" i="85"/>
  <c r="C1138" i="85"/>
  <c r="C1333" i="85"/>
  <c r="C1643" i="85"/>
  <c r="C1658" i="85"/>
  <c r="C1471" i="85"/>
  <c r="C294" i="85"/>
  <c r="C51" i="85"/>
  <c r="C1096" i="85"/>
  <c r="C1068" i="85"/>
  <c r="C1649" i="85"/>
  <c r="C879" i="85"/>
  <c r="C1860" i="85"/>
  <c r="C615" i="85"/>
  <c r="C1661" i="85"/>
  <c r="C1726" i="85"/>
  <c r="C1458" i="85"/>
  <c r="C536" i="85"/>
  <c r="C1836" i="85"/>
  <c r="C1147" i="85"/>
  <c r="C768" i="85"/>
  <c r="C727" i="85"/>
  <c r="C1617" i="85"/>
  <c r="C366" i="85"/>
  <c r="C1482" i="85"/>
  <c r="C1218" i="85"/>
  <c r="C1502" i="85"/>
  <c r="C992" i="85"/>
  <c r="C226" i="85"/>
  <c r="C1202" i="85"/>
  <c r="C1320" i="85"/>
  <c r="C1505" i="85"/>
  <c r="C1567" i="85"/>
  <c r="C1799" i="85"/>
  <c r="C1605" i="85"/>
  <c r="C575" i="85"/>
  <c r="C1494" i="85"/>
  <c r="C1565" i="85"/>
  <c r="C466" i="85"/>
  <c r="C1807" i="85"/>
  <c r="C1646" i="85"/>
  <c r="C364" i="85"/>
  <c r="C1573" i="85"/>
  <c r="C1457" i="85"/>
  <c r="C1126" i="85"/>
  <c r="C643" i="85"/>
  <c r="C1816" i="85"/>
  <c r="C1119" i="85"/>
  <c r="C1543" i="85"/>
  <c r="C597" i="85"/>
  <c r="C1851" i="85"/>
  <c r="C1731" i="85"/>
  <c r="C1032" i="85"/>
  <c r="C1436" i="85"/>
  <c r="C1591" i="85"/>
  <c r="C1622" i="85"/>
  <c r="C899" i="85"/>
  <c r="C269" i="85"/>
  <c r="C611" i="85"/>
  <c r="C1610" i="85"/>
  <c r="C1075" i="85"/>
  <c r="C1662" i="85"/>
  <c r="C1767" i="85"/>
  <c r="C1077" i="85"/>
  <c r="C1830" i="85"/>
  <c r="C322" i="85"/>
  <c r="C545" i="85"/>
  <c r="C1131" i="85"/>
  <c r="C1271" i="85"/>
  <c r="C738" i="85"/>
  <c r="C676" i="85"/>
  <c r="C997" i="85"/>
  <c r="C1710" i="85"/>
  <c r="C499" i="85"/>
  <c r="C729" i="85"/>
  <c r="C1647" i="85"/>
  <c r="C1677" i="85"/>
  <c r="C1211" i="85"/>
  <c r="C859" i="85"/>
  <c r="C462" i="85"/>
  <c r="C1485" i="85"/>
  <c r="C1268" i="85"/>
  <c r="C1399" i="85"/>
  <c r="C87" i="85"/>
  <c r="C1051" i="85"/>
  <c r="C503" i="85"/>
  <c r="C1695" i="85"/>
  <c r="C1770" i="85"/>
  <c r="C465" i="85"/>
  <c r="C73" i="85"/>
  <c r="C1371" i="85"/>
  <c r="C1968" i="85"/>
  <c r="C1738" i="85"/>
  <c r="C1980" i="85"/>
  <c r="C1781" i="85"/>
  <c r="C1009" i="85"/>
  <c r="C373" i="85"/>
  <c r="C24" i="85"/>
  <c r="C425" i="85"/>
  <c r="C1166" i="85"/>
  <c r="C692" i="85"/>
  <c r="C1043" i="85"/>
  <c r="C502" i="85"/>
  <c r="C1262" i="85"/>
  <c r="C993" i="85"/>
  <c r="C918" i="85"/>
  <c r="C58" i="85"/>
  <c r="C1967" i="85"/>
  <c r="C1140" i="85"/>
  <c r="C1344" i="85"/>
  <c r="C1492" i="85"/>
  <c r="C208" i="85"/>
  <c r="C871" i="85"/>
  <c r="C665" i="85"/>
  <c r="C807" i="85"/>
  <c r="C1348" i="85"/>
  <c r="C945" i="85"/>
  <c r="C1792" i="85"/>
  <c r="C1843" i="85"/>
  <c r="C1673" i="85"/>
  <c r="C1438" i="85"/>
  <c r="C1620" i="85"/>
  <c r="C1182" i="85"/>
  <c r="C1648" i="85"/>
  <c r="C1965" i="85"/>
  <c r="C627" i="85"/>
  <c r="C1000" i="85"/>
  <c r="C44" i="85"/>
  <c r="C765" i="85"/>
  <c r="C245" i="85"/>
  <c r="C207" i="85"/>
  <c r="C1210" i="85"/>
  <c r="C868" i="85"/>
  <c r="C1389" i="85"/>
  <c r="C1099" i="85"/>
  <c r="C1258" i="85"/>
  <c r="C1102" i="85"/>
  <c r="C761" i="85"/>
  <c r="C549" i="85"/>
  <c r="C1295" i="85"/>
  <c r="C1828" i="85"/>
  <c r="C1374" i="85"/>
  <c r="C894" i="85"/>
  <c r="C1239" i="85"/>
  <c r="C574" i="85"/>
  <c r="C1287" i="85"/>
  <c r="C1207" i="85"/>
  <c r="C686" i="85"/>
  <c r="C394" i="85"/>
  <c r="C486" i="85"/>
  <c r="C852" i="85"/>
  <c r="C1199" i="85"/>
  <c r="C1136" i="85"/>
  <c r="C1003" i="85"/>
  <c r="C231" i="85"/>
  <c r="C1476" i="85"/>
  <c r="C1484" i="85"/>
  <c r="C978" i="85"/>
  <c r="C898" i="85"/>
  <c r="C1122" i="85"/>
  <c r="C261" i="85"/>
  <c r="C1165" i="85"/>
  <c r="C119" i="85"/>
  <c r="C811" i="85"/>
  <c r="C746" i="85"/>
  <c r="C1712" i="85"/>
  <c r="C346" i="85"/>
  <c r="C15" i="85"/>
  <c r="C572" i="85"/>
  <c r="C71" i="85"/>
  <c r="C28" i="85"/>
  <c r="C1307" i="85"/>
  <c r="C1278" i="85"/>
  <c r="C891" i="85"/>
  <c r="C539" i="85"/>
  <c r="C1377" i="85"/>
  <c r="C1760" i="85"/>
  <c r="C711" i="85"/>
  <c r="C238" i="85"/>
  <c r="C1956" i="85"/>
  <c r="C647" i="85"/>
  <c r="C1445" i="85"/>
  <c r="C751" i="85"/>
  <c r="C1517" i="85"/>
  <c r="C921" i="85"/>
  <c r="C1704" i="85"/>
  <c r="C305" i="85"/>
  <c r="C1385" i="85"/>
  <c r="C1529" i="85"/>
  <c r="C748" i="85"/>
  <c r="C1761" i="85"/>
  <c r="C1790" i="85"/>
  <c r="C179" i="85"/>
  <c r="C173" i="85"/>
  <c r="C1188" i="85"/>
  <c r="C962" i="85"/>
  <c r="C1072" i="85"/>
  <c r="C1522" i="85"/>
  <c r="C266" i="85"/>
  <c r="C1711" i="85"/>
  <c r="C3" i="85"/>
  <c r="C47" i="85"/>
  <c r="C1170" i="85"/>
  <c r="C753" i="85"/>
  <c r="C579" i="85"/>
  <c r="C690" i="85"/>
  <c r="C1139" i="85"/>
  <c r="C1607" i="85"/>
  <c r="C1409" i="85"/>
  <c r="C1384" i="85"/>
  <c r="C1832" i="85"/>
  <c r="C1589" i="85"/>
  <c r="C785" i="85"/>
  <c r="C1915" i="85"/>
  <c r="C1694" i="85"/>
  <c r="C1791" i="85"/>
  <c r="C1184" i="85"/>
  <c r="C1817" i="85"/>
  <c r="C1315" i="85"/>
  <c r="C936" i="85"/>
  <c r="C1479" i="85"/>
  <c r="C623" i="85"/>
  <c r="C1869" i="85"/>
  <c r="C1842" i="85"/>
  <c r="C931" i="85"/>
  <c r="C883" i="85"/>
  <c r="C964" i="85"/>
  <c r="C1422" i="85"/>
  <c r="C1683" i="85"/>
  <c r="C1779" i="85"/>
  <c r="C1443" i="85"/>
  <c r="C1132" i="85"/>
  <c r="C1028" i="85"/>
  <c r="C1448" i="85"/>
  <c r="C1950" i="85"/>
  <c r="C1641" i="85"/>
  <c r="C1890" i="85"/>
  <c r="C1090" i="85"/>
  <c r="C1845" i="85"/>
  <c r="C1669" i="85"/>
  <c r="C875" i="85"/>
  <c r="C511" i="85"/>
  <c r="C910" i="85"/>
  <c r="C1642" i="85"/>
  <c r="C1027" i="85"/>
  <c r="C1777" i="85"/>
  <c r="C560" i="85"/>
  <c r="C1675" i="85"/>
  <c r="C1123" i="85"/>
  <c r="C1527" i="85"/>
  <c r="C1064" i="85"/>
  <c r="C1886" i="85"/>
  <c r="C1030" i="85"/>
  <c r="C1066" i="85"/>
  <c r="C892" i="85"/>
  <c r="C368" i="85"/>
  <c r="C1339" i="85"/>
  <c r="C1884" i="85"/>
  <c r="C1601" i="85"/>
  <c r="C981" i="85"/>
  <c r="C288" i="85"/>
  <c r="C1549" i="85"/>
  <c r="C866" i="85"/>
  <c r="C360" i="85"/>
  <c r="C1071" i="85"/>
  <c r="C1593" i="85"/>
  <c r="C787" i="85"/>
  <c r="C1577" i="85"/>
  <c r="C1681" i="85"/>
  <c r="C1929" i="85"/>
  <c r="C1806" i="85"/>
  <c r="C1558" i="85"/>
  <c r="C1734" i="85"/>
  <c r="C1155" i="85"/>
  <c r="C1397" i="85"/>
  <c r="C1670" i="85"/>
  <c r="C108" i="85"/>
  <c r="C600" i="85"/>
  <c r="C1311" i="85"/>
  <c r="C1483" i="85"/>
  <c r="C1562" i="85"/>
  <c r="C1928" i="85"/>
  <c r="C1366" i="85"/>
  <c r="C1630" i="85"/>
  <c r="C578" i="85"/>
  <c r="C1615" i="85"/>
  <c r="C1937" i="85"/>
  <c r="C1393" i="85"/>
  <c r="C1496" i="85"/>
  <c r="C920" i="85"/>
  <c r="C1507" i="85"/>
  <c r="C878" i="85"/>
  <c r="C1678" i="85"/>
  <c r="C1706" i="85"/>
  <c r="C1805" i="85"/>
  <c r="C1156" i="85"/>
  <c r="C1782" i="85"/>
  <c r="C672" i="85"/>
  <c r="C1109" i="85"/>
  <c r="C218" i="85"/>
  <c r="C362" i="85"/>
  <c r="C1922" i="85"/>
  <c r="C1961" i="85"/>
  <c r="C1614" i="85"/>
  <c r="C1875" i="85"/>
  <c r="C1334" i="85"/>
  <c r="C1829" i="85"/>
  <c r="C1702" i="85"/>
  <c r="C1222" i="85"/>
  <c r="C436" i="85"/>
  <c r="C610" i="85"/>
  <c r="C679" i="85"/>
  <c r="C552" i="85"/>
  <c r="C1987" i="85"/>
  <c r="C1011" i="85"/>
  <c r="C328" i="85"/>
  <c r="C281" i="85"/>
  <c r="C240" i="85"/>
  <c r="C1600" i="85"/>
  <c r="C198" i="85"/>
  <c r="C295" i="85"/>
  <c r="C862" i="85"/>
  <c r="C1387" i="85"/>
  <c r="C302" i="85"/>
  <c r="C434" i="85"/>
  <c r="C374" i="85"/>
  <c r="C889" i="85"/>
  <c r="C1431" i="85"/>
  <c r="C1862" i="85"/>
  <c r="C1276" i="85"/>
  <c r="C708" i="85"/>
  <c r="C1878" i="85"/>
  <c r="C221" i="85"/>
  <c r="C1671" i="85"/>
  <c r="C683" i="85"/>
  <c r="C994" i="85"/>
  <c r="C1501" i="85"/>
  <c r="C1042" i="85"/>
  <c r="C1407" i="85"/>
  <c r="C784" i="85"/>
  <c r="C975" i="85"/>
  <c r="C254" i="85"/>
  <c r="C128" i="85"/>
  <c r="C382" i="85"/>
  <c r="C1988" i="85"/>
  <c r="C1227" i="85"/>
  <c r="C1198" i="85"/>
  <c r="C642" i="85"/>
  <c r="C731" i="85"/>
  <c r="C1113" i="85"/>
  <c r="C347" i="85"/>
  <c r="C1424" i="85"/>
  <c r="C663" i="85"/>
  <c r="C569" i="85"/>
  <c r="C426" i="85"/>
  <c r="C1572" i="85"/>
  <c r="C1604" i="85"/>
  <c r="C1748" i="85"/>
  <c r="C1645" i="85"/>
  <c r="C167" i="85"/>
  <c r="C1510" i="85"/>
  <c r="C14" i="85"/>
  <c r="C1355" i="85"/>
  <c r="C1718" i="85"/>
  <c r="C1065" i="85"/>
  <c r="C1941" i="85"/>
  <c r="C101" i="85"/>
  <c r="C955" i="85"/>
  <c r="C1864" i="85"/>
  <c r="C1871" i="85"/>
  <c r="C1804" i="85"/>
  <c r="C1978" i="85"/>
  <c r="C1341" i="85"/>
  <c r="C413" i="85"/>
  <c r="C137" i="85"/>
  <c r="C1362" i="85"/>
  <c r="C1012" i="85"/>
  <c r="C219" i="85"/>
  <c r="C1223" i="85"/>
  <c r="C919" i="85"/>
  <c r="C330" i="85"/>
  <c r="C934" i="85"/>
  <c r="C251" i="85"/>
  <c r="C1367" i="85"/>
  <c r="C1472" i="85"/>
  <c r="C297" i="85"/>
  <c r="C747" i="85"/>
  <c r="C551" i="85"/>
  <c r="C183" i="85"/>
  <c r="C140" i="85"/>
  <c r="C817" i="85"/>
  <c r="C264" i="85"/>
  <c r="C1516" i="85"/>
  <c r="C1481" i="85"/>
  <c r="C1563" i="85"/>
  <c r="C1361" i="85"/>
  <c r="C4" i="85"/>
  <c r="C1488" i="85"/>
  <c r="C1940" i="85"/>
  <c r="C1275" i="85"/>
  <c r="C1749" i="85"/>
  <c r="C755" i="85"/>
  <c r="C1629" i="85"/>
  <c r="C691" i="85"/>
  <c r="C514" i="85"/>
  <c r="C220" i="85"/>
  <c r="C781" i="85"/>
  <c r="C1310" i="85"/>
  <c r="C1242" i="85"/>
  <c r="C948" i="85"/>
  <c r="C837" i="85"/>
  <c r="C1556" i="85"/>
  <c r="C472" i="85"/>
  <c r="C697" i="85"/>
  <c r="C795" i="85"/>
  <c r="C1508" i="85"/>
  <c r="C500" i="85"/>
  <c r="C839" i="85"/>
  <c r="C474" i="85"/>
  <c r="C1391" i="85"/>
  <c r="C1373" i="85"/>
  <c r="C558" i="85"/>
  <c r="C592" i="85"/>
  <c r="C1460" i="85"/>
  <c r="C911" i="85"/>
  <c r="C1690" i="85"/>
  <c r="C1173" i="85"/>
  <c r="C342" i="85"/>
  <c r="C1001" i="85"/>
  <c r="C1255" i="85"/>
  <c r="C1896" i="85"/>
  <c r="C1349" i="85"/>
  <c r="C1116" i="85"/>
  <c r="C1134" i="85"/>
  <c r="C1233" i="85"/>
  <c r="C687" i="85"/>
  <c r="C565" i="85"/>
  <c r="C1214" i="85"/>
  <c r="C896" i="85"/>
  <c r="C1444" i="85"/>
  <c r="C1913" i="85"/>
  <c r="C819" i="85"/>
  <c r="C1544" i="85"/>
  <c r="C1653" i="85"/>
  <c r="C1022" i="85"/>
  <c r="C456" i="85"/>
  <c r="C983" i="85"/>
  <c r="C620" i="85"/>
  <c r="C1489" i="85"/>
  <c r="C1796" i="85"/>
  <c r="C1456" i="85"/>
  <c r="C895" i="85"/>
  <c r="C1555" i="85"/>
  <c r="C1833" i="85"/>
  <c r="C391" i="85"/>
  <c r="C844" i="85"/>
  <c r="C524" i="85"/>
  <c r="C1588" i="85"/>
  <c r="C803" i="85"/>
  <c r="C1347" i="85"/>
  <c r="C354" i="85"/>
  <c r="C1618" i="85"/>
  <c r="C724" i="85"/>
  <c r="C1751" i="85"/>
  <c r="C1364" i="85"/>
  <c r="C850" i="85"/>
  <c r="C1110" i="85"/>
  <c r="C1187" i="85"/>
  <c r="C66" i="85"/>
  <c r="C660" i="85"/>
  <c r="C1356" i="85"/>
  <c r="C1919" i="85"/>
  <c r="C1381" i="85"/>
  <c r="C1935" i="85"/>
  <c r="C1825" i="85"/>
  <c r="C1765" i="85"/>
  <c r="C1603" i="85"/>
  <c r="C1265" i="85"/>
  <c r="C1924" i="85"/>
  <c r="C98" i="85"/>
  <c r="C1410" i="85"/>
  <c r="C1316" i="85"/>
  <c r="C700" i="85"/>
  <c r="C1056" i="85"/>
  <c r="C1447" i="85"/>
  <c r="C1680" i="85"/>
  <c r="C451" i="85"/>
  <c r="C658" i="85"/>
  <c r="C424" i="85"/>
  <c r="C1894" i="85"/>
  <c r="C1464" i="85"/>
  <c r="C1513" i="85"/>
  <c r="C1907" i="85"/>
  <c r="C596" i="85"/>
  <c r="C1959" i="85"/>
  <c r="C488" i="85"/>
  <c r="C1887" i="85"/>
  <c r="C1111" i="85"/>
  <c r="C834" i="85"/>
  <c r="C1764" i="85"/>
  <c r="C1396" i="85"/>
  <c r="C1087" i="85"/>
  <c r="C1672" i="85"/>
  <c r="C719" i="85"/>
  <c r="C467" i="85"/>
  <c r="C1101" i="85"/>
  <c r="C365" i="85"/>
  <c r="C1823" i="85"/>
  <c r="C1478" i="85"/>
  <c r="C1999" i="85"/>
  <c r="C1376" i="85"/>
  <c r="C482" i="85"/>
  <c r="C618" i="85"/>
  <c r="C750" i="85"/>
  <c r="C1762" i="85"/>
  <c r="C695" i="85"/>
  <c r="C1815" i="85"/>
  <c r="C1176" i="85"/>
  <c r="C661" i="85"/>
  <c r="C1228" i="85"/>
  <c r="C590" i="85"/>
  <c r="C1575" i="85"/>
  <c r="C1449" i="85"/>
  <c r="C1949" i="85"/>
  <c r="C1297" i="85"/>
  <c r="C995" i="85"/>
  <c r="C333" i="85"/>
  <c r="C1667" i="85"/>
  <c r="C516" i="85"/>
  <c r="C1847" i="85"/>
  <c r="C1689" i="85"/>
  <c r="C1368" i="85"/>
  <c r="C526" i="85"/>
  <c r="C1313" i="85"/>
  <c r="C1759" i="85"/>
  <c r="C1911" i="85"/>
  <c r="C626" i="85"/>
  <c r="C1858" i="85"/>
  <c r="C1795" i="85"/>
  <c r="C767" i="85"/>
  <c r="C1839" i="85"/>
  <c r="C1414" i="85"/>
  <c r="C1352" i="85"/>
  <c r="C792" i="85"/>
  <c r="C1254" i="85"/>
  <c r="C816" i="85"/>
  <c r="C675" i="85"/>
  <c r="C106" i="85"/>
  <c r="C1048" i="85"/>
  <c r="C1452" i="85"/>
  <c r="C1474" i="85"/>
  <c r="C1925" i="85"/>
  <c r="C1742" i="85"/>
  <c r="C168" i="85"/>
  <c r="C1624" i="85"/>
  <c r="C1506" i="85"/>
  <c r="C1499" i="85"/>
  <c r="C568" i="85"/>
  <c r="C1057" i="85"/>
  <c r="C490" i="85"/>
  <c r="C493" i="85"/>
  <c r="C1331" i="85"/>
  <c r="C1533" i="85"/>
  <c r="C1564" i="85"/>
  <c r="C1337" i="85"/>
  <c r="C1904" i="85"/>
  <c r="C1061" i="85"/>
  <c r="C234" i="85"/>
  <c r="C1089" i="85"/>
  <c r="C699" i="85"/>
  <c r="C103" i="85"/>
  <c r="C793" i="85"/>
  <c r="C890" i="85"/>
  <c r="C1303" i="85"/>
  <c r="C1996" i="85"/>
  <c r="C942" i="85"/>
  <c r="C599" i="85"/>
  <c r="C1294" i="85"/>
  <c r="C246" i="85"/>
  <c r="C1952" i="85"/>
  <c r="C802" i="85"/>
  <c r="C1616" i="85"/>
  <c r="C1037" i="85"/>
  <c r="C458" i="85"/>
  <c r="C1324" i="85"/>
  <c r="C1435" i="85"/>
  <c r="C1016" i="85"/>
  <c r="C884" i="85"/>
  <c r="C1732" i="85"/>
  <c r="C204" i="85"/>
  <c r="C544" i="85"/>
  <c r="C1697" i="85"/>
  <c r="C1917" i="85"/>
  <c r="C917" i="85"/>
  <c r="C1750" i="85"/>
  <c r="C109" i="85"/>
  <c r="C107" i="85"/>
  <c r="C1006" i="85"/>
  <c r="C1637" i="85"/>
  <c r="C887" i="85"/>
  <c r="C233" i="85"/>
  <c r="C1290" i="85"/>
  <c r="C564" i="85"/>
  <c r="C196" i="85"/>
  <c r="C344" i="85"/>
  <c r="C528" i="85"/>
  <c r="C1415" i="85"/>
  <c r="C535" i="85"/>
  <c r="C704" i="85"/>
  <c r="C510" i="85"/>
  <c r="C1259" i="85"/>
  <c r="C479" i="85"/>
  <c r="C1285" i="85"/>
  <c r="C1969" i="85"/>
  <c r="C170" i="85"/>
  <c r="C1475" i="85"/>
  <c r="C744" i="85"/>
  <c r="C1934" i="85"/>
  <c r="C16" i="85"/>
  <c r="C829" i="85"/>
  <c r="C1243" i="85"/>
  <c r="C612" i="85"/>
  <c r="C1050" i="85"/>
  <c r="C1546" i="85"/>
  <c r="C1714" i="85"/>
  <c r="C1873" i="85"/>
  <c r="C1468" i="85"/>
  <c r="C182" i="85"/>
  <c r="C421" i="85"/>
  <c r="C779" i="85"/>
  <c r="C1319" i="85"/>
  <c r="C1848" i="85"/>
  <c r="C823" i="85"/>
  <c r="C1773" i="85"/>
  <c r="C638" i="85"/>
  <c r="C1197" i="85"/>
  <c r="C213" i="85"/>
  <c r="C740" i="85"/>
  <c r="C791" i="85"/>
  <c r="C855" i="85"/>
  <c r="C1536" i="85"/>
  <c r="C1808" i="85"/>
  <c r="C716" i="85"/>
  <c r="C241" i="85"/>
  <c r="C162" i="85"/>
  <c r="C1014" i="85"/>
  <c r="C967" i="85"/>
  <c r="C1548" i="85"/>
  <c r="C1802" i="85"/>
  <c r="C580" i="85"/>
  <c r="C1590" i="85"/>
  <c r="C662" i="85"/>
  <c r="C1195" i="85"/>
  <c r="C1127" i="85"/>
  <c r="C200" i="85"/>
  <c r="C1534" i="85"/>
  <c r="C1721" i="85"/>
  <c r="C1651" i="85"/>
  <c r="C533" i="85"/>
  <c r="C418" i="85"/>
  <c r="C258" i="85"/>
  <c r="C1584" i="85"/>
  <c r="C460" i="85"/>
  <c r="C1776" i="85"/>
  <c r="C1143" i="85"/>
  <c r="C387" i="85"/>
  <c r="C1146" i="85"/>
  <c r="C423" i="85"/>
  <c r="C136" i="85"/>
  <c r="C332" i="85"/>
  <c r="C849" i="85"/>
  <c r="C457" i="85"/>
  <c r="C1274" i="85"/>
  <c r="C1206" i="85"/>
  <c r="C1609" i="85"/>
  <c r="C194" i="85"/>
  <c r="C848" i="85"/>
  <c r="C773" i="85"/>
  <c r="C971" i="85"/>
  <c r="C725" i="85"/>
  <c r="C608" i="85"/>
  <c r="C1576" i="85"/>
  <c r="C1885" i="85"/>
  <c r="C1768" i="85"/>
  <c r="C554" i="85"/>
  <c r="C507" i="85"/>
  <c r="C958" i="85"/>
  <c r="C1724" i="85"/>
  <c r="C172" i="85"/>
  <c r="C1930" i="85"/>
  <c r="C1154" i="85"/>
  <c r="C1342" i="85"/>
  <c r="C1586" i="85"/>
  <c r="C1095" i="85"/>
  <c r="C18" i="85"/>
  <c r="C1772" i="85"/>
  <c r="C1789" i="85"/>
  <c r="C1855" i="85"/>
  <c r="C1865" i="85"/>
  <c r="C443" i="85"/>
  <c r="C1908" i="85"/>
  <c r="C105" i="85"/>
  <c r="C350" i="85"/>
  <c r="C1983" i="85"/>
  <c r="C1650" i="85"/>
  <c r="C872" i="85"/>
  <c r="C1854" i="85"/>
  <c r="C1461" i="85"/>
  <c r="C979" i="85"/>
  <c r="C1569" i="85"/>
  <c r="C1926" i="85"/>
  <c r="C1906" i="85"/>
  <c r="C1769" i="85"/>
  <c r="C1687" i="85"/>
  <c r="C1375" i="85"/>
  <c r="C278" i="85"/>
  <c r="C1797" i="85"/>
  <c r="C1487" i="85"/>
  <c r="C1787" i="85"/>
  <c r="C1701" i="85"/>
  <c r="C314" i="85"/>
  <c r="C1867" i="85"/>
  <c r="C428" i="85"/>
  <c r="C1692" i="85"/>
  <c r="C1698" i="85"/>
  <c r="C1490" i="85"/>
  <c r="C1991" i="85"/>
  <c r="C1756" i="85"/>
  <c r="C1733" i="85"/>
  <c r="C1354" i="85"/>
  <c r="C1148" i="85"/>
  <c r="C1292" i="85"/>
  <c r="C1465" i="85"/>
  <c r="C1574" i="85"/>
  <c r="C1446" i="85"/>
  <c r="C846" i="85"/>
  <c r="C1947" i="85"/>
  <c r="C1971" i="85"/>
  <c r="C1426" i="85"/>
  <c r="C1541" i="85"/>
  <c r="C636" i="85"/>
  <c r="C1578" i="85"/>
  <c r="C1420" i="85"/>
  <c r="C300" i="85"/>
  <c r="C594" i="85"/>
  <c r="C1515" i="85"/>
  <c r="C1158" i="85"/>
  <c r="C671" i="85"/>
  <c r="C863" i="85"/>
  <c r="C1654" i="85"/>
  <c r="C712" i="85"/>
  <c r="C1665" i="85"/>
  <c r="C555" i="85"/>
  <c r="C949" i="85"/>
  <c r="C1633" i="85"/>
  <c r="C559" i="85"/>
  <c r="C1532" i="85"/>
  <c r="C1256" i="85"/>
  <c r="C1237" i="85"/>
  <c r="C1403" i="85"/>
  <c r="C1345" i="85"/>
  <c r="C1876" i="85"/>
  <c r="C250" i="85"/>
  <c r="C1914" i="85"/>
  <c r="C1547" i="85"/>
  <c r="C1774" i="85"/>
  <c r="C1557" i="85"/>
  <c r="C1088" i="85"/>
  <c r="C1985" i="85"/>
  <c r="C1402" i="85"/>
  <c r="C263" i="85"/>
  <c r="C1989" i="85"/>
  <c r="C980" i="85"/>
  <c r="C1112" i="85"/>
  <c r="C1190" i="85"/>
  <c r="C1252" i="85"/>
  <c r="C771" i="85"/>
  <c r="C607" i="85"/>
  <c r="C1171" i="85"/>
  <c r="C799" i="85"/>
  <c r="C512" i="85"/>
  <c r="C1163" i="85"/>
  <c r="C851" i="85"/>
  <c r="C1427" i="85"/>
  <c r="C831" i="85"/>
  <c r="C1861" i="85"/>
  <c r="C1986" i="85"/>
  <c r="C988" i="85"/>
  <c r="C595" i="85"/>
  <c r="C684" i="85"/>
  <c r="C1421" i="85"/>
  <c r="C1299" i="85"/>
  <c r="C1363" i="85"/>
  <c r="C1236" i="85"/>
  <c r="C786" i="85"/>
  <c r="C91" i="85"/>
  <c r="C214" i="85"/>
  <c r="C1819" i="85"/>
  <c r="C1699" i="85"/>
  <c r="C1350" i="85"/>
  <c r="C1835" i="85"/>
  <c r="C1882" i="85"/>
  <c r="C1707" i="85"/>
  <c r="C1288" i="85"/>
  <c r="C1526" i="85"/>
  <c r="C1052" i="85"/>
  <c r="C1938" i="85"/>
  <c r="C529" i="85"/>
  <c r="C492" i="85"/>
  <c r="C1644" i="85"/>
  <c r="C1378" i="85"/>
  <c r="C1639" i="85"/>
  <c r="C1542" i="85"/>
  <c r="C1196" i="85"/>
  <c r="C11" i="85"/>
  <c r="C1246" i="85"/>
  <c r="C1169" i="85"/>
  <c r="C827" i="85"/>
  <c r="C654" i="85"/>
  <c r="C1036" i="85"/>
  <c r="C1135" i="85"/>
  <c r="C770" i="85"/>
  <c r="C1920" i="85"/>
  <c r="C1082" i="85"/>
  <c r="C1953" i="85"/>
  <c r="C1473" i="85"/>
  <c r="C1248" i="85"/>
  <c r="C562" i="85"/>
  <c r="C205" i="85"/>
  <c r="C1931" i="85"/>
  <c r="C527" i="85"/>
  <c r="C1432" i="85"/>
  <c r="C1820" i="85"/>
  <c r="C1719" i="85"/>
  <c r="C959" i="85"/>
  <c r="C202" i="85"/>
  <c r="C1713" i="85"/>
  <c r="C1579" i="85"/>
  <c r="C835" i="85"/>
  <c r="C1416" i="85"/>
  <c r="C1340" i="85"/>
  <c r="C824" i="85"/>
  <c r="C1995" i="85"/>
  <c r="C1874" i="85"/>
  <c r="C166" i="85"/>
  <c r="C1883" i="85"/>
  <c r="C1585" i="85"/>
  <c r="C1628" i="85"/>
  <c r="C1688" i="85"/>
  <c r="C455" i="85"/>
  <c r="C1846" i="85"/>
  <c r="C1509" i="85"/>
  <c r="C1103" i="85"/>
  <c r="C1045" i="85"/>
  <c r="C972" i="85"/>
  <c r="C1778" i="85"/>
  <c r="C588" i="85"/>
  <c r="C1729" i="85"/>
  <c r="C33" i="85"/>
  <c r="C1679" i="85"/>
  <c r="C1551" i="85"/>
  <c r="C67" i="85"/>
  <c r="C1512" i="85"/>
  <c r="C1932" i="85"/>
  <c r="C721" i="85"/>
  <c r="C1912" i="85"/>
  <c r="C1785" i="85"/>
  <c r="C1537" i="85"/>
  <c r="C1183" i="85"/>
  <c r="C1511" i="85"/>
  <c r="C1231" i="85"/>
  <c r="C1958" i="85"/>
  <c r="C1827" i="85"/>
  <c r="C1046" i="85"/>
  <c r="C720" i="85"/>
  <c r="C1545" i="85"/>
  <c r="C487" i="85"/>
  <c r="C1434" i="85"/>
  <c r="C956" i="85"/>
  <c r="C1365" i="85"/>
  <c r="C693" i="85"/>
  <c r="C12" i="85"/>
  <c r="C317" i="85"/>
  <c r="C563" i="85"/>
  <c r="C952" i="85"/>
  <c r="C1674" i="85"/>
  <c r="C1962" i="85"/>
  <c r="C1627" i="85"/>
  <c r="C1272" i="85"/>
  <c r="C908" i="85"/>
  <c r="C60" i="85"/>
  <c r="C1657" i="85"/>
  <c r="C1849" i="85"/>
  <c r="C540" i="85"/>
  <c r="C1766" i="85"/>
  <c r="C882" i="85"/>
  <c r="C1318" i="85"/>
  <c r="C1903" i="85"/>
  <c r="C442" i="85"/>
  <c r="C632" i="85"/>
  <c r="C880" i="85"/>
  <c r="C1897" i="85"/>
  <c r="C1998" i="85"/>
  <c r="C1493" i="85"/>
  <c r="C461" i="85"/>
  <c r="C406" i="85"/>
  <c r="C1144" i="85"/>
  <c r="C1137" i="85"/>
  <c r="C735" i="85"/>
  <c r="C688" i="85"/>
  <c r="C1215" i="85"/>
  <c r="C131" i="85"/>
  <c r="C1480" i="85"/>
  <c r="C532" i="85"/>
  <c r="C1078" i="85"/>
  <c r="C1954" i="85"/>
  <c r="C1538" i="85"/>
  <c r="C593" i="85"/>
  <c r="C1411" i="85"/>
  <c r="C1312" i="85"/>
  <c r="C1467" i="85"/>
  <c r="C728" i="85"/>
  <c r="C1708" i="85"/>
  <c r="C946" i="85"/>
  <c r="C591" i="85"/>
  <c r="C230" i="85"/>
  <c r="C1560" i="85"/>
  <c r="C1916" i="85"/>
  <c r="C54" i="85"/>
  <c r="C963" i="85"/>
  <c r="C913" i="85"/>
  <c r="C1625" i="85"/>
  <c r="C1503" i="85"/>
  <c r="C718" i="85"/>
  <c r="C1966" i="85"/>
  <c r="C935" i="85"/>
  <c r="C519" i="85"/>
  <c r="C135" i="85"/>
  <c r="C947" i="85"/>
  <c r="C659" i="85"/>
  <c r="C102" i="85"/>
  <c r="C1360" i="85"/>
  <c r="C1888" i="85"/>
  <c r="C1552" i="85"/>
  <c r="C359" i="85"/>
  <c r="C622" i="85"/>
  <c r="C818" i="85"/>
  <c r="C1758" i="85"/>
  <c r="C1454" i="85"/>
  <c r="C776" i="85"/>
  <c r="C1514" i="85"/>
  <c r="C1997" i="85"/>
  <c r="C1626" i="85"/>
  <c r="C990" i="85"/>
  <c r="C856" i="85"/>
  <c r="C1300" i="85"/>
  <c r="C1582" i="85"/>
  <c r="C1923" i="85"/>
  <c r="C1723" i="85"/>
  <c r="C1359" i="85"/>
  <c r="C1525" i="85"/>
  <c r="C616" i="85"/>
  <c r="C1031" i="85"/>
  <c r="C186" i="85"/>
  <c r="C1466" i="85"/>
  <c r="C195" i="85"/>
  <c r="C652" i="85"/>
  <c r="C1877" i="85"/>
  <c r="C1091" i="85"/>
  <c r="C1553" i="85"/>
  <c r="C1910" i="85"/>
  <c r="C624" i="85"/>
  <c r="C1039" i="85"/>
  <c r="C1044" i="85"/>
  <c r="C1870" i="85"/>
  <c r="C914" i="85"/>
  <c r="C1611" i="85"/>
  <c r="C888" i="85"/>
  <c r="C836" i="85"/>
  <c r="C1059" i="85"/>
  <c r="C1863" i="85"/>
  <c r="C236" i="85"/>
  <c r="C1755" i="85"/>
  <c r="C1964" i="85"/>
  <c r="C1597" i="85"/>
  <c r="C548" i="85"/>
  <c r="C1771" i="85"/>
  <c r="C1951" i="85"/>
  <c r="C1055" i="85"/>
  <c r="C1955" i="85"/>
  <c r="C1530" i="85"/>
  <c r="C265" i="85"/>
  <c r="C1404" i="85"/>
  <c r="C1909" i="85"/>
  <c r="C1794" i="85"/>
  <c r="C402" i="85"/>
  <c r="C534" i="85"/>
  <c r="C1160" i="85"/>
  <c r="C1982" i="85"/>
  <c r="C1811" i="85"/>
  <c r="C1336" i="85"/>
  <c r="C709" i="85"/>
  <c r="C1977" i="85"/>
  <c r="C1192" i="85"/>
  <c r="C1094" i="85"/>
  <c r="C1382" i="85"/>
  <c r="C1881" i="85"/>
  <c r="C1900" i="85"/>
  <c r="C1164" i="85"/>
  <c r="C1813" i="85"/>
  <c r="C1821" i="85"/>
  <c r="C1598" i="85"/>
  <c r="C1784" i="85"/>
  <c r="C1205" i="85"/>
  <c r="C1981" i="85"/>
  <c r="C1329" i="85"/>
  <c r="C1942" i="85"/>
  <c r="C1927" i="85"/>
  <c r="C1442" i="85"/>
  <c r="C1283" i="85"/>
  <c r="C1685" i="85"/>
  <c r="C1559" i="85"/>
  <c r="C154" i="85"/>
  <c r="C1026" i="85"/>
  <c r="C94" i="85"/>
  <c r="C1592" i="85"/>
  <c r="C1743" i="85"/>
  <c r="C547" i="85"/>
  <c r="C867" i="85"/>
  <c r="C110" i="85"/>
  <c r="C1379" i="85"/>
  <c r="C301" i="85"/>
  <c r="C1528" i="85"/>
  <c r="C1754" i="85"/>
  <c r="C1634" i="85"/>
  <c r="C1386" i="85"/>
  <c r="C1439" i="85"/>
  <c r="C1682" i="85"/>
  <c r="C1866" i="85"/>
  <c r="C1314" i="85"/>
  <c r="C1596" i="85"/>
  <c r="C1219" i="85"/>
  <c r="C1740" i="85"/>
  <c r="C1010" i="85"/>
  <c r="C1994" i="85"/>
  <c r="C696" i="85"/>
  <c r="C1284" i="85"/>
  <c r="C1244" i="85"/>
  <c r="C1703" i="85"/>
  <c r="C1430" i="85"/>
  <c r="C1814" i="85"/>
  <c r="C796" i="85"/>
  <c r="C1753" i="85"/>
  <c r="C1108" i="85"/>
  <c r="C393" i="85"/>
  <c r="C707" i="85"/>
  <c r="C146" i="85"/>
  <c r="C1029" i="85"/>
  <c r="C1417" i="85"/>
  <c r="C1419" i="85"/>
  <c r="C860" i="85"/>
  <c r="C409" i="85"/>
  <c r="C1296" i="85"/>
  <c r="C38" i="85"/>
  <c r="C766" i="85"/>
  <c r="C1879" i="85"/>
  <c r="C680" i="85"/>
  <c r="C1933" i="85"/>
  <c r="C1263" i="85"/>
  <c r="C974" i="85"/>
  <c r="C1172" i="85"/>
  <c r="C1818" i="85"/>
  <c r="C1809" i="85"/>
  <c r="C55" i="85"/>
  <c r="C1606" i="85"/>
  <c r="C1621" i="85"/>
  <c r="C422" i="85"/>
  <c r="C1004" i="85"/>
  <c r="C1497" i="85"/>
  <c r="C876" i="85"/>
  <c r="C928" i="85"/>
  <c r="C1308" i="85"/>
  <c r="C1250" i="85"/>
  <c r="C1220" i="85"/>
  <c r="C390" i="85"/>
  <c r="C1450" i="85"/>
  <c r="C556" i="85"/>
  <c r="C1739" i="85"/>
  <c r="C1631" i="85"/>
  <c r="C1857" i="85"/>
  <c r="C1945" i="85"/>
  <c r="C1240" i="85"/>
  <c r="C800" i="85"/>
  <c r="C1655" i="85"/>
  <c r="C1975" i="85"/>
  <c r="C1128" i="85"/>
  <c r="C1200" i="85"/>
  <c r="C1328" i="85"/>
  <c r="C722" i="85"/>
  <c r="C1798" i="85"/>
  <c r="C1013" i="85"/>
  <c r="C69" i="85"/>
  <c r="C1398" i="85"/>
  <c r="C814" i="85"/>
  <c r="C1580" i="85"/>
  <c r="C1837" i="85"/>
  <c r="C1423" i="85"/>
  <c r="C968" i="85"/>
  <c r="C1406" i="85"/>
  <c r="C1570" i="85"/>
  <c r="C1304" i="85"/>
  <c r="C1608" i="85"/>
  <c r="C1531" i="85"/>
  <c r="C1783" i="85"/>
  <c r="C546" i="85"/>
  <c r="C356" i="85"/>
  <c r="C1741" i="85"/>
  <c r="C1174" i="85"/>
  <c r="C1736" i="85"/>
  <c r="C1901" i="85"/>
  <c r="C1992" i="85"/>
  <c r="C509" i="85"/>
  <c r="C1067" i="85"/>
  <c r="C587" i="85"/>
  <c r="C655" i="85"/>
  <c r="C1571" i="85"/>
  <c r="C1491" i="85"/>
  <c r="C1566" i="85"/>
  <c r="C378" i="85"/>
  <c r="C783" i="85"/>
  <c r="C410" i="85"/>
  <c r="C1619" i="85"/>
  <c r="C1301" i="85"/>
  <c r="C1831" i="85"/>
  <c r="C1727" i="85"/>
  <c r="C338" i="85"/>
  <c r="C1948" i="85"/>
  <c r="C530" i="85"/>
  <c r="C1852" i="85"/>
  <c r="C1554" i="85"/>
  <c r="C1388" i="85"/>
  <c r="C732" i="85"/>
  <c r="C788" i="85"/>
  <c r="C853" i="85"/>
  <c r="C1822" i="85"/>
  <c r="C358" i="85"/>
  <c r="C772" i="85"/>
  <c r="C1264" i="85"/>
  <c r="C1058" i="85"/>
  <c r="C1899" i="85"/>
  <c r="C1635" i="85"/>
  <c r="C789" i="85"/>
  <c r="C1705" i="85"/>
  <c r="C1853" i="85"/>
  <c r="C20" i="85"/>
  <c r="C1659" i="85"/>
  <c r="C1463" i="85"/>
  <c r="C83" i="85"/>
  <c r="C1470" i="85"/>
  <c r="C1201" i="85"/>
  <c r="C584" i="85"/>
  <c r="C1810" i="85"/>
  <c r="C1429" i="85"/>
  <c r="C82" i="85"/>
  <c r="C531" i="85"/>
  <c r="C1041" i="85"/>
  <c r="C1735" i="85"/>
  <c r="C1023" i="85"/>
  <c r="C1142" i="85"/>
  <c r="C1793" i="85"/>
  <c r="C1390" i="85"/>
  <c r="C1905" i="85"/>
  <c r="C828" i="85"/>
  <c r="C1826" i="85"/>
  <c r="C1921" i="85"/>
  <c r="C984" i="85"/>
  <c r="C1780" i="85"/>
  <c r="C450" i="85"/>
  <c r="C764" i="85"/>
  <c r="C1632" i="85"/>
  <c r="C1594" i="85"/>
  <c r="C1963" i="85"/>
  <c r="C1053" i="85"/>
  <c r="C603" i="85"/>
  <c r="C1253" i="85"/>
  <c r="C1357" i="85"/>
  <c r="C628" i="85"/>
  <c r="C1080" i="85"/>
  <c r="C943" i="85"/>
  <c r="C1918" i="85"/>
  <c r="C1235" i="85"/>
  <c r="C1020" i="85"/>
  <c r="C940" i="85"/>
  <c r="C760" i="85"/>
  <c r="C515" i="85"/>
  <c r="C1413" i="85"/>
  <c r="C1803" i="85"/>
  <c r="C1279" i="85"/>
  <c r="C57" i="85"/>
  <c r="C1895" i="85"/>
  <c r="C1266" i="85"/>
  <c r="C1880" i="85"/>
  <c r="C815" i="85"/>
  <c r="C1720" i="85"/>
  <c r="C1984" i="85"/>
  <c r="C1151" i="85"/>
  <c r="C141" i="85"/>
  <c r="C1062" i="85"/>
  <c r="C520" i="85"/>
  <c r="C199" i="85"/>
  <c r="C1666" i="85"/>
  <c r="C904" i="85"/>
  <c r="C1841" i="85"/>
  <c r="C996" i="85"/>
  <c r="C329" i="85"/>
  <c r="C323" i="85"/>
  <c r="C1498" i="85"/>
  <c r="C122" i="85"/>
  <c r="C1451" i="85"/>
  <c r="C296" i="85"/>
  <c r="C664" i="85"/>
  <c r="C1459" i="85"/>
  <c r="C808" i="85"/>
  <c r="C1462" i="85"/>
  <c r="C915" i="85"/>
  <c r="C1433" i="85"/>
  <c r="C1437" i="85"/>
  <c r="C1074" i="85"/>
  <c r="C648" i="85"/>
  <c r="C1535" i="85"/>
  <c r="C1073" i="85"/>
  <c r="C1893" i="85"/>
  <c r="C35" i="85"/>
  <c r="C1486" i="85"/>
  <c r="C1891" i="85"/>
  <c r="C1358" i="85"/>
  <c r="C1993" i="85"/>
  <c r="C1317" i="85"/>
  <c r="C1801" i="85"/>
  <c r="C1636" i="85"/>
  <c r="C1500" i="85"/>
  <c r="C1737" i="85"/>
  <c r="C149" i="85"/>
  <c r="C1038" i="85"/>
  <c r="C1150" i="85"/>
  <c r="C1745" i="85"/>
  <c r="C1599" i="85"/>
  <c r="C232" i="85"/>
  <c r="C1786" i="85"/>
  <c r="C1120" i="85"/>
  <c r="C1212" i="85"/>
  <c r="C201" i="85"/>
  <c r="C674" i="85"/>
  <c r="C847" i="85"/>
  <c r="C1976" i="85"/>
  <c r="C1730" i="85"/>
  <c r="C1686" i="85"/>
  <c r="C1663" i="85"/>
  <c r="C739" i="85"/>
  <c r="C1286" i="85"/>
  <c r="C1656" i="85"/>
  <c r="C1425" i="85"/>
  <c r="C1224" i="85"/>
  <c r="C723" i="85"/>
  <c r="C104" i="85"/>
  <c r="C782" i="85"/>
  <c r="C1270" i="85"/>
  <c r="C1595" i="85"/>
  <c r="C1763" i="85"/>
  <c r="C327" i="85"/>
  <c r="C1550" i="85"/>
  <c r="C1752" i="85"/>
  <c r="C1298" i="85"/>
  <c r="C1660" i="85"/>
  <c r="C1746" i="85"/>
  <c r="C1561" i="85"/>
  <c r="C1715" i="85"/>
  <c r="C1302" i="85"/>
  <c r="C397" i="85"/>
  <c r="C840" i="85"/>
  <c r="C1392" i="85"/>
  <c r="C1346" i="85"/>
  <c r="C52" i="85"/>
  <c r="C1186" i="85"/>
  <c r="C1477" i="85"/>
  <c r="C736" i="85"/>
  <c r="C1583" i="85"/>
  <c r="C1372" i="85"/>
  <c r="C543" i="85"/>
  <c r="C1612" i="85"/>
  <c r="C1521" i="85"/>
  <c r="C991" i="85"/>
  <c r="C703" i="85"/>
  <c r="C1979" i="85"/>
  <c r="F1" i="71" l="1"/>
  <c r="F2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P6" i="49"/>
  <c r="Q6" i="49"/>
  <c r="P7" i="49"/>
  <c r="Q7" i="49"/>
  <c r="P8" i="49"/>
  <c r="Q8" i="49"/>
  <c r="P13" i="49"/>
  <c r="Q13" i="49"/>
  <c r="P31" i="49"/>
  <c r="Q31" i="49"/>
  <c r="P32" i="49"/>
  <c r="Q32" i="49"/>
  <c r="P33" i="49"/>
  <c r="Q33" i="49"/>
  <c r="P34" i="49"/>
  <c r="Q34" i="49"/>
  <c r="P35" i="49"/>
  <c r="Q35" i="49"/>
  <c r="P36" i="49"/>
  <c r="Q36" i="49"/>
  <c r="P37" i="49"/>
  <c r="Q37" i="49"/>
  <c r="P38" i="49"/>
  <c r="Q38" i="49"/>
  <c r="P39" i="49"/>
  <c r="Q39" i="49"/>
  <c r="P40" i="49"/>
  <c r="Q40" i="49"/>
  <c r="P42" i="49"/>
  <c r="Q42" i="49"/>
  <c r="P43" i="49"/>
  <c r="Q43" i="49"/>
  <c r="P44" i="49"/>
  <c r="Q44" i="49"/>
  <c r="P45" i="49"/>
  <c r="Q45" i="49"/>
  <c r="P102" i="49"/>
  <c r="Q102" i="49"/>
  <c r="P103" i="49"/>
  <c r="Q103" i="49"/>
  <c r="P133" i="49"/>
  <c r="Q133" i="49"/>
  <c r="P134" i="49"/>
  <c r="Q134" i="49"/>
  <c r="P135" i="49"/>
  <c r="Q135" i="49"/>
  <c r="P151" i="49"/>
  <c r="Q151" i="49"/>
  <c r="P152" i="49"/>
  <c r="Q152" i="49"/>
  <c r="P153" i="49"/>
  <c r="Q153" i="49"/>
  <c r="P155" i="49"/>
  <c r="Q155" i="49"/>
  <c r="P157" i="49"/>
  <c r="Q157" i="49"/>
  <c r="P158" i="49"/>
  <c r="Q158" i="49"/>
  <c r="P159" i="49"/>
  <c r="Q159" i="49"/>
  <c r="P162" i="49"/>
  <c r="Q162" i="49"/>
  <c r="P163" i="49"/>
  <c r="Q163" i="49"/>
  <c r="P164" i="49"/>
  <c r="Q164" i="49"/>
  <c r="P170" i="49"/>
  <c r="Q170" i="49"/>
  <c r="P171" i="49"/>
  <c r="Q171" i="49"/>
  <c r="P172" i="49"/>
  <c r="Q172" i="49"/>
  <c r="P217" i="49"/>
  <c r="Q217" i="49"/>
  <c r="P218" i="49"/>
  <c r="Q218" i="49"/>
  <c r="P219" i="49"/>
  <c r="Q219" i="49"/>
  <c r="P220" i="49"/>
  <c r="Q220" i="49"/>
  <c r="P221" i="49"/>
  <c r="Q221" i="49"/>
  <c r="P222" i="49"/>
  <c r="Q222" i="49"/>
  <c r="P234" i="49"/>
  <c r="Q234" i="49"/>
  <c r="P235" i="49"/>
  <c r="Q235" i="49"/>
  <c r="P236" i="49"/>
  <c r="Q236" i="49"/>
  <c r="P237" i="49"/>
  <c r="Q237" i="49"/>
  <c r="P238" i="49"/>
  <c r="Q238" i="49"/>
  <c r="P261" i="49"/>
  <c r="Q261" i="49"/>
  <c r="P262" i="49"/>
  <c r="Q262" i="49"/>
  <c r="P263" i="49"/>
  <c r="Q263" i="49"/>
  <c r="P264" i="49"/>
  <c r="Q264" i="49"/>
  <c r="H1" i="78"/>
  <c r="H2" i="78"/>
  <c r="K35" i="39"/>
  <c r="K36" i="39"/>
  <c r="K42" i="39"/>
  <c r="J73" i="39"/>
  <c r="L73" i="39"/>
  <c r="M73" i="39"/>
  <c r="C99" i="39"/>
  <c r="C102" i="39"/>
  <c r="H1" i="87"/>
  <c r="H2" i="87"/>
  <c r="H1" i="61"/>
  <c r="H2" i="61"/>
  <c r="I1" i="51"/>
  <c r="I2" i="51"/>
  <c r="C6" i="51"/>
  <c r="L6" i="51"/>
  <c r="O7" i="51"/>
  <c r="L8" i="51"/>
  <c r="L9" i="51"/>
  <c r="O9" i="51"/>
  <c r="L10" i="51"/>
  <c r="O11" i="51"/>
  <c r="O12" i="51"/>
  <c r="C13" i="51"/>
  <c r="L13" i="51"/>
  <c r="O13" i="51"/>
  <c r="L14" i="51"/>
  <c r="G1" i="58"/>
  <c r="G2" i="58"/>
  <c r="C5" i="58"/>
  <c r="E6" i="58"/>
  <c r="C9" i="58"/>
  <c r="C10" i="58"/>
  <c r="P11" i="58"/>
  <c r="Q11" i="58"/>
  <c r="C13" i="58"/>
  <c r="M13" i="58"/>
  <c r="P13" i="58"/>
  <c r="Q13" i="58"/>
  <c r="C14" i="58"/>
  <c r="M14" i="58"/>
  <c r="M15" i="58"/>
  <c r="P15" i="58"/>
  <c r="Q15" i="58"/>
  <c r="R15" i="58"/>
  <c r="M16" i="58"/>
  <c r="P16" i="58"/>
  <c r="Q16" i="58"/>
  <c r="M17" i="58"/>
  <c r="P17" i="58"/>
  <c r="Q17" i="58"/>
  <c r="C18" i="58"/>
  <c r="F18" i="58"/>
  <c r="M18" i="58"/>
  <c r="P18" i="58"/>
  <c r="M19" i="58"/>
  <c r="C20" i="58"/>
  <c r="F20" i="58"/>
  <c r="L20" i="58"/>
  <c r="C21" i="58"/>
  <c r="F21" i="58"/>
  <c r="C22" i="58"/>
  <c r="E22" i="58"/>
  <c r="F22" i="58"/>
  <c r="C23" i="58"/>
  <c r="E23" i="58"/>
  <c r="F23" i="58"/>
  <c r="M29" i="58"/>
  <c r="N29" i="58"/>
  <c r="S29" i="58"/>
  <c r="T29" i="58"/>
  <c r="V29" i="58"/>
  <c r="T32" i="58"/>
  <c r="V32" i="58"/>
  <c r="V34" i="58"/>
  <c r="V38" i="58"/>
  <c r="M39" i="58"/>
  <c r="N39" i="58"/>
  <c r="M40" i="58"/>
  <c r="N40" i="58"/>
  <c r="M41" i="58"/>
  <c r="N41" i="58"/>
  <c r="M42" i="58"/>
  <c r="N42" i="58"/>
  <c r="V42" i="58"/>
  <c r="M43" i="58"/>
  <c r="N43" i="58"/>
  <c r="M44" i="58"/>
  <c r="N44" i="58"/>
  <c r="M45" i="58"/>
  <c r="N45" i="58"/>
  <c r="K46" i="58"/>
  <c r="M46" i="58"/>
  <c r="N46" i="58"/>
  <c r="C54" i="58"/>
  <c r="H1" i="50"/>
  <c r="H2" i="50"/>
  <c r="D5" i="50"/>
  <c r="D7" i="50"/>
  <c r="E7" i="50"/>
  <c r="D30" i="50"/>
  <c r="E30" i="50"/>
  <c r="D31" i="50"/>
  <c r="E31" i="50"/>
  <c r="D52" i="50"/>
  <c r="E52" i="50"/>
  <c r="D53" i="50"/>
  <c r="E53" i="50"/>
  <c r="D54" i="50"/>
  <c r="E54" i="50"/>
  <c r="D55" i="50"/>
  <c r="E55" i="50"/>
  <c r="D56" i="50"/>
  <c r="E56" i="50"/>
  <c r="D57" i="50"/>
  <c r="E57" i="50"/>
  <c r="D69" i="50"/>
  <c r="E69" i="50"/>
  <c r="D70" i="50"/>
  <c r="E70" i="50"/>
  <c r="D71" i="50"/>
  <c r="E71" i="50"/>
  <c r="D72" i="50"/>
  <c r="E72" i="50"/>
  <c r="D73" i="50"/>
  <c r="E73" i="50"/>
  <c r="E77" i="50"/>
  <c r="C48" i="85"/>
  <c r="C49" i="85"/>
  <c r="C50" i="85"/>
  <c r="C56" i="85"/>
  <c r="C61" i="85"/>
  <c r="C62" i="85"/>
  <c r="C63" i="85"/>
  <c r="C65" i="85"/>
  <c r="C68" i="85"/>
  <c r="C74" i="85"/>
  <c r="C75" i="85"/>
  <c r="C76" i="85"/>
  <c r="C78" i="85"/>
  <c r="C79" i="85"/>
  <c r="C92" i="85"/>
  <c r="C93" i="85"/>
  <c r="C13" i="137"/>
  <c r="D13" i="137"/>
  <c r="E13" i="137"/>
  <c r="C14" i="137"/>
  <c r="D14" i="137"/>
  <c r="E14" i="137"/>
  <c r="H1" i="25"/>
  <c r="H2" i="25"/>
  <c r="H1" i="82"/>
  <c r="H2" i="82"/>
  <c r="C5" i="64"/>
  <c r="C7" i="64"/>
  <c r="C8" i="64"/>
  <c r="C9" i="64"/>
  <c r="C10" i="64"/>
  <c r="D10" i="64"/>
  <c r="D14" i="64"/>
  <c r="E14" i="64"/>
  <c r="F14" i="64"/>
  <c r="D17" i="64"/>
  <c r="E17" i="64"/>
  <c r="F17" i="64"/>
  <c r="D33" i="64"/>
  <c r="E33" i="64"/>
  <c r="F33" i="64"/>
  <c r="D34" i="64"/>
  <c r="E34" i="64"/>
  <c r="F34" i="64"/>
  <c r="C74" i="64"/>
  <c r="D74" i="64"/>
  <c r="E74" i="64"/>
  <c r="C75" i="64"/>
  <c r="D75" i="64"/>
  <c r="E75" i="64"/>
  <c r="C76" i="64"/>
  <c r="D76" i="64"/>
  <c r="E76" i="64"/>
  <c r="C77" i="64"/>
  <c r="D77" i="64"/>
  <c r="E77" i="64"/>
  <c r="C78" i="64"/>
  <c r="D78" i="64"/>
  <c r="E78" i="64"/>
  <c r="C79" i="64"/>
  <c r="D79" i="64"/>
  <c r="E79" i="64"/>
  <c r="C91" i="64"/>
  <c r="D91" i="64"/>
  <c r="E91" i="64"/>
  <c r="C92" i="64"/>
  <c r="D92" i="64"/>
  <c r="E92" i="64"/>
  <c r="C93" i="64"/>
  <c r="D93" i="64"/>
  <c r="E93" i="64"/>
  <c r="C94" i="64"/>
  <c r="D94" i="64"/>
  <c r="E94" i="64"/>
  <c r="C95" i="64"/>
  <c r="D95" i="64"/>
  <c r="E95" i="64"/>
  <c r="AC5" i="89"/>
  <c r="L8" i="89"/>
  <c r="T8" i="89"/>
  <c r="T9" i="89"/>
  <c r="U9" i="89"/>
  <c r="L10" i="89"/>
  <c r="T10" i="89"/>
  <c r="T11" i="89"/>
  <c r="U11" i="89"/>
  <c r="L12" i="89"/>
  <c r="U12" i="89"/>
  <c r="L13" i="89"/>
  <c r="U13" i="89"/>
  <c r="U14" i="89"/>
  <c r="T15" i="89"/>
  <c r="U15" i="89"/>
  <c r="AE16" i="89"/>
  <c r="AG16" i="89"/>
  <c r="T21" i="89"/>
  <c r="T22" i="89"/>
  <c r="T23" i="89"/>
  <c r="T24" i="89"/>
  <c r="T25" i="89"/>
  <c r="T26" i="89"/>
  <c r="T27" i="89"/>
  <c r="T28" i="89"/>
  <c r="T29" i="89"/>
  <c r="T30" i="89"/>
  <c r="T31" i="89"/>
  <c r="C52" i="89"/>
  <c r="C54" i="89"/>
  <c r="C55" i="89"/>
  <c r="C56" i="89"/>
  <c r="N102" i="89"/>
  <c r="O102" i="89"/>
  <c r="N109" i="89"/>
  <c r="Q112" i="89"/>
  <c r="Q113" i="89"/>
  <c r="Q114" i="89"/>
  <c r="T122" i="89"/>
  <c r="T124" i="89"/>
  <c r="U124" i="89"/>
  <c r="T125" i="89"/>
  <c r="AA139" i="89"/>
  <c r="AC139" i="89"/>
  <c r="AD139" i="89"/>
  <c r="AA141" i="89"/>
  <c r="AC141" i="89"/>
  <c r="AD141" i="89"/>
  <c r="AA142" i="89"/>
  <c r="AB142" i="89"/>
  <c r="AC142" i="89"/>
  <c r="AU194" i="89"/>
  <c r="AV194" i="89"/>
  <c r="AW194" i="89"/>
  <c r="AX194" i="89"/>
  <c r="AX195" i="89"/>
  <c r="AX196" i="89"/>
  <c r="AU197" i="89"/>
  <c r="AV197" i="89"/>
  <c r="AW197" i="89"/>
  <c r="AX197" i="89"/>
  <c r="AY197" i="89"/>
  <c r="AX198" i="89"/>
  <c r="AX199" i="89"/>
  <c r="AX200" i="89"/>
  <c r="AX201" i="89"/>
  <c r="AX202" i="89"/>
  <c r="AX203" i="89"/>
  <c r="AU204" i="89"/>
  <c r="AV204" i="89"/>
  <c r="AW204" i="89"/>
  <c r="AX204" i="89"/>
  <c r="AY204" i="89"/>
  <c r="AU205" i="89"/>
  <c r="AV205" i="89"/>
  <c r="AW205" i="89"/>
  <c r="AX205" i="89"/>
  <c r="AY205" i="89"/>
  <c r="AX206" i="89"/>
  <c r="AX207" i="89"/>
  <c r="AX208" i="89"/>
  <c r="AX209" i="89"/>
  <c r="AX210" i="89"/>
  <c r="AU211" i="89"/>
  <c r="AX211" i="89"/>
  <c r="AU212" i="89"/>
  <c r="AV212" i="89"/>
  <c r="AW212" i="89"/>
  <c r="AX212" i="89"/>
  <c r="AY212" i="89"/>
  <c r="AX213" i="89"/>
  <c r="AW214" i="89"/>
  <c r="AW236" i="89"/>
  <c r="AW237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521/2022 - base dez/21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J54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<sst xmlns="http://schemas.openxmlformats.org/spreadsheetml/2006/main" count="17742" uniqueCount="2284">
  <si>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</si>
  <si>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</si>
  <si>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</si>
  <si>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</si>
  <si>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</si>
  <si>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</si>
  <si>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</si>
  <si>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</si>
  <si>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</si>
  <si>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</si>
  <si>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</si>
  <si>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</si>
  <si>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</si>
  <si>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</si>
  <si>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</si>
  <si>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</si>
  <si>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</si>
  <si>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</si>
  <si>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</si>
  <si>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</si>
  <si>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</si>
  <si>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</si>
  <si>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</si>
  <si>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</si>
  <si>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</si>
  <si>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</si>
  <si>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</si>
  <si>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</si>
  <si>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</si>
  <si>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</si>
  <si>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</si>
  <si>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</si>
  <si>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</si>
  <si>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</si>
  <si>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</si>
  <si>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</si>
  <si>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</si>
  <si>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</si>
  <si>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</si>
  <si>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</si>
  <si>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</si>
  <si>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</si>
  <si>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</si>
  <si>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</si>
  <si>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</si>
  <si>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</si>
  <si>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</si>
  <si>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</si>
  <si>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</si>
  <si>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</si>
  <si>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</si>
  <si>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</si>
  <si>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</si>
  <si>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</si>
  <si>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</si>
  <si>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</si>
  <si>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</si>
  <si>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</si>
  <si>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</si>
  <si>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</si>
  <si>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</si>
  <si>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</si>
  <si>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</si>
  <si>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</si>
  <si>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</si>
  <si>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</si>
  <si>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</si>
  <si>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</si>
  <si>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</si>
  <si>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</si>
  <si>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</si>
  <si>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</si>
  <si>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</si>
  <si>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</si>
  <si>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</si>
  <si>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</si>
  <si>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</si>
  <si>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</si>
  <si>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</si>
  <si>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</si>
  <si>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</si>
  <si>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</si>
  <si>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</si>
  <si>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</si>
  <si>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</si>
  <si>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</si>
  <si>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</si>
  <si>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</si>
  <si>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</si>
  <si>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</si>
  <si>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</si>
  <si>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</si>
  <si>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</si>
  <si>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</si>
  <si>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</si>
  <si>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</si>
  <si>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</si>
  <si>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</si>
  <si>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</si>
  <si>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</si>
  <si>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</si>
  <si>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</si>
  <si>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</si>
  <si>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</si>
  <si>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</si>
  <si>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</si>
  <si>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</si>
  <si>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</si>
  <si>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</si>
  <si>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</si>
  <si>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</si>
  <si>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</si>
  <si>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</si>
  <si>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</si>
  <si>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</si>
  <si>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</si>
  <si>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</si>
  <si>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</si>
  <si>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</si>
  <si>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</si>
  <si>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</si>
  <si>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</si>
  <si>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</si>
  <si>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</si>
  <si>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</si>
  <si>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</si>
  <si>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</si>
  <si>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</si>
  <si>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</si>
  <si>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</si>
  <si>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</si>
  <si>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</si>
  <si>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</si>
  <si>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</si>
  <si>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</si>
  <si>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</si>
  <si>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</si>
  <si>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</si>
  <si>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</si>
  <si>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</si>
  <si>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</si>
  <si>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</si>
  <si>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</si>
  <si>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</si>
  <si>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</si>
  <si>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</si>
  <si>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</si>
  <si>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</si>
  <si>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</si>
  <si>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</si>
  <si>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</si>
  <si>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</si>
  <si>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</si>
  <si>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</si>
  <si>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</si>
  <si>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</si>
  <si>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</si>
  <si>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</si>
  <si>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</si>
  <si>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</si>
  <si>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</si>
  <si>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</si>
  <si>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</si>
  <si>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</si>
  <si>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</si>
  <si>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</si>
  <si>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</si>
  <si>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</si>
  <si>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</si>
  <si>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</si>
  <si>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</si>
  <si>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</si>
  <si>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</si>
  <si>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</si>
  <si>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</si>
  <si>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</si>
  <si>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</si>
  <si>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</si>
  <si>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</si>
  <si>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</si>
  <si>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</si>
  <si>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</si>
  <si>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</si>
  <si>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</si>
  <si>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</si>
  <si>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</si>
  <si>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</si>
  <si>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</si>
  <si>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</si>
  <si>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</si>
  <si>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</si>
  <si>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</si>
  <si>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</si>
  <si>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</si>
  <si>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</si>
  <si>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</si>
  <si>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</si>
  <si>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</si>
  <si>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</si>
  <si>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</si>
  <si>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</si>
  <si>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</si>
  <si>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</si>
  <si>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</si>
  <si>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</si>
  <si>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</si>
  <si>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</si>
  <si>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</si>
  <si>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</si>
  <si>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</si>
  <si>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</si>
  <si>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</si>
  <si>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</si>
  <si>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</si>
  <si>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</si>
  <si>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</si>
  <si>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</si>
  <si>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</si>
  <si>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</si>
  <si>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</si>
  <si>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</si>
  <si>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</si>
  <si>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</si>
  <si>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</si>
  <si>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</si>
  <si>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</si>
  <si>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</si>
  <si>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</si>
  <si>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</si>
  <si>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</si>
  <si>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</si>
  <si>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</si>
  <si>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</si>
  <si>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</si>
  <si>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</si>
  <si>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</si>
  <si>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</si>
  <si>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</si>
  <si>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</si>
  <si>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</si>
  <si>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</si>
  <si>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</si>
  <si>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</si>
  <si>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</si>
  <si>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</si>
  <si>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</si>
  <si>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</si>
  <si>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</si>
  <si>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</si>
  <si>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</si>
  <si>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</si>
  <si>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</si>
  <si>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</si>
  <si>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</si>
  <si>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</si>
  <si>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</si>
  <si>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</si>
  <si>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</si>
  <si>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</si>
  <si>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</si>
  <si>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</si>
  <si>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</si>
  <si>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</si>
  <si>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</si>
  <si>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</si>
  <si>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</si>
  <si>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</si>
  <si>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</si>
  <si>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</si>
  <si>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</si>
  <si>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</si>
  <si>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</si>
  <si>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</si>
  <si>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</si>
  <si>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</si>
  <si>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</si>
  <si>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</si>
  <si>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</si>
  <si>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</si>
  <si>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</si>
  <si>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</si>
  <si>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</si>
  <si>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</si>
  <si>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</si>
  <si>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</si>
  <si>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</si>
  <si>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</si>
  <si>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</si>
  <si>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</si>
  <si>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</si>
  <si>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</si>
  <si>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</si>
  <si>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</si>
  <si>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</si>
  <si>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</si>
  <si>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</si>
  <si>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</si>
  <si>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</si>
  <si>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</si>
  <si>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</si>
  <si>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</si>
  <si>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</si>
  <si>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</si>
  <si>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</si>
  <si>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</si>
  <si>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</si>
  <si>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</si>
  <si>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</si>
  <si>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</si>
  <si>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</si>
  <si>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</si>
  <si>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</si>
  <si>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</si>
  <si>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</si>
  <si>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</si>
  <si>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</si>
  <si>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</si>
  <si>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</si>
  <si>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</si>
  <si>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</si>
  <si>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</si>
  <si>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</si>
  <si>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</si>
  <si>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</si>
  <si>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</si>
  <si>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</si>
  <si>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</si>
  <si>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</si>
  <si>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</si>
  <si>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</si>
  <si>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</si>
  <si>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</si>
  <si>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</si>
  <si>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</si>
  <si>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</si>
  <si>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</si>
  <si>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</si>
  <si>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</si>
  <si>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</si>
  <si>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</si>
  <si>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</si>
  <si>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</si>
  <si>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</si>
  <si>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</si>
  <si>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</si>
  <si>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</si>
  <si>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</si>
  <si>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</si>
  <si>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</si>
  <si>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</si>
  <si>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</si>
  <si>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</si>
  <si>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</si>
  <si>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</si>
  <si>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</si>
  <si>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</si>
  <si>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</si>
  <si>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</si>
  <si>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</si>
  <si>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</si>
  <si>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</si>
  <si>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</si>
  <si>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</si>
  <si>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</si>
  <si>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</si>
  <si>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</si>
  <si>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</si>
  <si>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</si>
  <si>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</si>
  <si>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</si>
  <si>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</si>
  <si>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</si>
  <si>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</si>
  <si>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</si>
  <si>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</si>
  <si>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</si>
  <si>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</si>
  <si>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</si>
  <si>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</si>
  <si>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</si>
  <si>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</si>
  <si>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</si>
  <si>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</si>
  <si>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</si>
  <si>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</si>
  <si>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</si>
  <si>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</si>
  <si>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</si>
  <si>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</si>
  <si>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</si>
  <si>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</si>
  <si>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</si>
  <si>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</si>
  <si>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</si>
  <si>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</si>
  <si>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</si>
  <si>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</si>
  <si>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</si>
  <si>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</si>
  <si>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</si>
  <si>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</si>
  <si>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</si>
  <si>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</si>
  <si>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</si>
  <si>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</si>
  <si>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</si>
  <si>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</si>
  <si>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</si>
  <si>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</si>
  <si>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</si>
  <si>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</si>
  <si>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</si>
  <si>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</si>
  <si>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</si>
  <si>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</si>
  <si>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</si>
  <si>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</si>
  <si>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</si>
  <si>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</si>
  <si>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</si>
  <si>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</si>
  <si>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</si>
  <si>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</si>
  <si>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</si>
  <si>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</si>
  <si>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</si>
  <si>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</si>
  <si>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</si>
  <si>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</si>
  <si>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</si>
  <si>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</si>
  <si>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</si>
  <si>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</si>
  <si>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</si>
  <si>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</si>
  <si>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</si>
  <si>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</si>
  <si>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</si>
  <si>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</si>
  <si>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</si>
  <si>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</si>
  <si>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</si>
  <si>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</si>
  <si>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</si>
  <si>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</si>
  <si>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</si>
  <si>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</si>
  <si>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</si>
  <si>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</si>
  <si>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</si>
  <si>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</si>
  <si>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</si>
  <si>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</si>
  <si>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</si>
  <si>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</si>
  <si>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</si>
  <si>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</si>
  <si>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</si>
  <si>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</si>
  <si>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</si>
  <si>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</si>
  <si>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</si>
  <si>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</si>
  <si>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</si>
  <si>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</si>
  <si>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</si>
  <si>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</si>
  <si>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</si>
  <si>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</si>
  <si>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</si>
  <si>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</si>
  <si>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</si>
  <si>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</si>
  <si>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</si>
  <si>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</si>
  <si>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</si>
  <si>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</si>
  <si>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</si>
  <si>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</si>
  <si>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</si>
  <si>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</si>
  <si>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</si>
  <si>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</si>
  <si>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</si>
  <si>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</si>
  <si>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</si>
  <si>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</si>
  <si>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</si>
  <si>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</si>
  <si>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</si>
  <si>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</si>
  <si>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</si>
  <si>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</si>
  <si>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</si>
  <si>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</si>
  <si>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</si>
  <si>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</si>
  <si>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</si>
  <si>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</si>
  <si>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</si>
  <si>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</si>
  <si>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</si>
  <si>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</si>
  <si>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</si>
  <si>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</si>
  <si>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</si>
  <si>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</si>
  <si>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</si>
  <si>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</si>
  <si>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</si>
  <si>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</si>
  <si>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</si>
  <si>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</si>
  <si>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</si>
  <si>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</si>
  <si>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</si>
  <si>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</si>
  <si>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</si>
  <si>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</si>
  <si>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</si>
  <si>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</si>
  <si>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</si>
  <si>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</si>
  <si>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</si>
  <si>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</si>
  <si>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</si>
  <si>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</si>
  <si>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</si>
  <si>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</si>
  <si>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</si>
  <si>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</si>
  <si>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</si>
  <si>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</si>
  <si>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</si>
  <si>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</si>
  <si>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</si>
  <si>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</si>
  <si>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</si>
  <si>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</si>
  <si>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</si>
  <si>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</si>
  <si>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</si>
  <si>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</si>
  <si>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</si>
  <si>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</si>
  <si>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</si>
  <si>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</si>
  <si>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</si>
  <si>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</si>
  <si>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</si>
  <si>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</si>
  <si>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</si>
  <si>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</si>
  <si>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</si>
  <si>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</si>
  <si>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</si>
  <si>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</si>
  <si>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</si>
  <si>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</si>
  <si>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</si>
  <si>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</si>
  <si>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</si>
  <si>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</si>
  <si>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</si>
  <si>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</si>
  <si>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</si>
  <si>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</si>
  <si>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</si>
  <si>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</si>
  <si>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</si>
  <si>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</si>
  <si>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</si>
  <si>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</si>
  <si>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</si>
  <si>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</si>
  <si>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</si>
  <si>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</si>
  <si>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</si>
  <si>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</si>
  <si>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</si>
  <si>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</si>
  <si>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</si>
  <si>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</si>
  <si>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</si>
  <si>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</si>
  <si>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</si>
  <si>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</si>
  <si>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</si>
  <si>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</si>
  <si>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</si>
  <si>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</si>
  <si>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</si>
  <si>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</si>
  <si>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</si>
  <si>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</si>
  <si>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</si>
  <si>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</si>
  <si>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</si>
  <si>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</si>
  <si>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</si>
  <si>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</si>
  <si>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</si>
  <si>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</si>
  <si>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</si>
  <si>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</si>
  <si>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</si>
  <si>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</si>
  <si>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</si>
  <si>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</si>
  <si>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</si>
  <si>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</si>
  <si>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</si>
  <si>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</si>
  <si>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</si>
  <si>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</si>
  <si>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</si>
  <si>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</si>
  <si>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</si>
  <si>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</si>
  <si>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</si>
  <si>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</si>
  <si>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</si>
  <si>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</si>
  <si>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</si>
  <si>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</si>
  <si>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</si>
  <si>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</si>
  <si>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</si>
  <si>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</si>
  <si>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</si>
  <si>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</si>
  <si>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</si>
  <si>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</si>
  <si>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</si>
  <si>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</si>
  <si>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</si>
  <si>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</si>
  <si>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</si>
  <si>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</si>
  <si>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</si>
  <si>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</si>
  <si>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</si>
  <si>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</si>
  <si>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</si>
  <si>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</si>
  <si>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</si>
  <si>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</si>
  <si>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</si>
  <si>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</si>
  <si>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</si>
  <si>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</si>
  <si>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</si>
  <si>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</si>
  <si>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</si>
  <si>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</si>
  <si>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</si>
  <si>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</si>
  <si>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</si>
  <si>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</si>
  <si>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</si>
  <si>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</si>
  <si>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</si>
  <si>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</si>
  <si>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</si>
  <si>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</si>
  <si>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</si>
  <si>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</si>
  <si>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</si>
  <si>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</si>
  <si>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</si>
  <si>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</si>
  <si>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</si>
  <si>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</si>
  <si>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</si>
  <si>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</si>
  <si>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</si>
  <si>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</si>
  <si>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</si>
  <si>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</si>
  <si>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</si>
  <si>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</si>
  <si>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</si>
  <si>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</si>
  <si>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</si>
  <si>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</si>
  <si>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</si>
  <si>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</si>
  <si>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</si>
  <si>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</si>
  <si>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</si>
  <si>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</si>
  <si>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</si>
  <si>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</si>
  <si>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</si>
  <si>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</si>
  <si>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</si>
  <si>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</si>
  <si>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</si>
  <si>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</si>
  <si>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</si>
  <si>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</si>
  <si>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</si>
  <si>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</si>
  <si>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</si>
  <si>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</si>
  <si>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</si>
  <si>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</si>
  <si>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</si>
  <si>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</si>
  <si>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</si>
  <si>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</si>
  <si>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</si>
  <si>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</si>
  <si>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</si>
  <si>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</si>
  <si>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</si>
  <si>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</si>
  <si>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</si>
  <si>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</si>
  <si>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</si>
  <si>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</si>
  <si>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</si>
  <si>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</si>
  <si>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</si>
  <si>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</si>
  <si>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</si>
  <si>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</si>
  <si>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</si>
  <si>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</si>
  <si>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</si>
  <si>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</si>
  <si>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</si>
  <si>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</si>
  <si>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</si>
  <si>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</si>
  <si>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</si>
  <si>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</si>
  <si>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</si>
  <si>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</si>
  <si>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</si>
  <si>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</si>
  <si>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</si>
  <si>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</si>
  <si>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</si>
  <si>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</si>
  <si>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</si>
  <si>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</si>
  <si>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</si>
  <si>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</si>
  <si>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</si>
  <si>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</si>
  <si>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</si>
  <si>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</si>
  <si>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</si>
  <si>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</si>
  <si>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</si>
  <si>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</si>
  <si>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</si>
  <si>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</si>
  <si>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</si>
  <si>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</si>
  <si>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</si>
  <si>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</si>
  <si>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</si>
  <si>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</si>
  <si>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</si>
  <si>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</si>
  <si>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</si>
  <si>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</si>
  <si>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</si>
  <si>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</si>
  <si>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</si>
  <si>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</si>
  <si>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</si>
  <si>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</si>
  <si>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</si>
  <si>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</si>
  <si>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</si>
  <si>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</si>
  <si>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</si>
  <si>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</si>
  <si>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</si>
  <si>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</si>
  <si>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</si>
  <si>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</si>
  <si>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</si>
  <si>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</si>
  <si>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</si>
  <si>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</si>
  <si>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Compensação financeira - CFURH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</si>
  <si>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</si>
  <si>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</si>
  <si>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</si>
  <si>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</si>
  <si>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</si>
  <si>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</si>
  <si>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</si>
  <si>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</si>
  <si>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</si>
  <si>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</si>
  <si>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</si>
  <si>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</si>
  <si>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</si>
  <si>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</si>
  <si>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</si>
  <si>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</si>
  <si>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</si>
  <si>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</si>
  <si>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</si>
  <si>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</si>
  <si>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</si>
  <si>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</si>
  <si>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</si>
  <si>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</si>
  <si>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</si>
  <si>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</si>
  <si>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</si>
  <si>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</si>
  <si>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</si>
  <si>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</si>
  <si>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</si>
  <si>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</si>
  <si>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</si>
  <si>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</si>
  <si>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</si>
  <si>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</si>
  <si>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</si>
  <si>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</si>
  <si>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</si>
  <si>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</si>
  <si>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</si>
  <si>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</si>
  <si>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</si>
  <si>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</si>
  <si>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</si>
  <si>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</si>
  <si>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</si>
  <si>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</si>
  <si>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</si>
  <si>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</si>
  <si>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</si>
  <si>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</si>
  <si>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</si>
  <si>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</si>
  <si>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</si>
  <si>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</si>
  <si>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</si>
  <si>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</si>
  <si>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</si>
  <si>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</si>
  <si>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</si>
  <si>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</si>
  <si>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</si>
  <si>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</si>
  <si>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</si>
  <si>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</si>
  <si>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</si>
  <si>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</si>
  <si>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</si>
  <si>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</si>
  <si>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</si>
  <si>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</si>
  <si>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</si>
  <si>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</si>
  <si>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</si>
  <si>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</si>
  <si>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</si>
  <si>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</si>
  <si>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</si>
  <si>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</si>
  <si>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</si>
  <si>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</si>
  <si>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</si>
  <si>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</si>
  <si>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</si>
  <si>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</si>
  <si>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</si>
  <si>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</si>
  <si>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</si>
  <si>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</si>
  <si>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</si>
  <si>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</si>
  <si>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</si>
  <si>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</si>
  <si>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</si>
  <si>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</si>
  <si>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</si>
  <si>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</si>
  <si>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</si>
  <si>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</si>
  <si>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</si>
  <si>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</si>
  <si>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</si>
  <si>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</si>
  <si>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</si>
  <si>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</si>
  <si>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</si>
  <si>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</si>
  <si>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</si>
  <si>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</si>
  <si>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</si>
  <si>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</si>
  <si>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</si>
  <si>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</si>
  <si>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</si>
  <si>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</si>
  <si>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</si>
  <si>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</si>
  <si>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</si>
  <si>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</si>
  <si>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</si>
  <si>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</si>
  <si>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</si>
  <si>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</si>
  <si>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</si>
  <si>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</si>
  <si>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</si>
  <si>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</si>
  <si>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</si>
  <si>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</si>
  <si>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</si>
  <si>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</si>
  <si>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</si>
  <si>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</si>
  <si>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</si>
  <si>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</si>
  <si>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</si>
  <si>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</si>
  <si>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</si>
  <si>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</si>
  <si>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</si>
  <si>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</si>
  <si>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</si>
  <si>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</si>
  <si>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</si>
  <si>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</si>
  <si>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</si>
  <si>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</si>
  <si>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</si>
  <si>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</si>
  <si>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</si>
  <si>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</si>
  <si>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</si>
  <si>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</si>
  <si>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</si>
  <si>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</si>
  <si>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</si>
  <si>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</si>
  <si>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</si>
  <si>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</si>
  <si>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</si>
  <si>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</si>
  <si>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</si>
  <si>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</si>
  <si>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</si>
  <si>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</si>
  <si>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</si>
  <si>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</si>
  <si>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</si>
  <si>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</si>
  <si>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</si>
  <si>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</si>
  <si>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</si>
  <si>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</si>
  <si>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</si>
  <si>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</si>
  <si>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</si>
  <si>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</si>
  <si>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</si>
  <si>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</si>
  <si>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</si>
  <si>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</si>
  <si>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</si>
  <si>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</si>
  <si>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</si>
  <si>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</si>
  <si>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</si>
  <si>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</si>
  <si>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</si>
  <si>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</si>
  <si>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</si>
  <si>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</si>
  <si>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</si>
  <si>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</si>
  <si>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</si>
  <si>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</si>
  <si>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</si>
  <si>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</si>
  <si>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</si>
  <si>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</si>
  <si>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</si>
  <si>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</si>
  <si>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</si>
  <si>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</si>
  <si>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</si>
  <si>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</si>
  <si>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</si>
  <si>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</si>
  <si>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</si>
  <si>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</si>
  <si>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</si>
  <si>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</si>
  <si>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</si>
  <si>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</si>
  <si>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</si>
  <si>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</si>
  <si>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</si>
  <si>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</si>
  <si>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</si>
  <si>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</si>
  <si>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</si>
  <si>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</si>
  <si>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</si>
  <si>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</si>
  <si>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</si>
  <si>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</si>
  <si>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</si>
  <si>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</si>
  <si>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</si>
  <si>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</si>
  <si>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</si>
  <si>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</si>
  <si>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</si>
  <si>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</si>
  <si>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</si>
  <si>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</si>
  <si>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</si>
  <si>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</si>
  <si>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</si>
  <si>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</si>
  <si>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</si>
  <si>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</si>
  <si>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</si>
  <si>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</si>
  <si>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</si>
  <si>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</si>
  <si>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</si>
  <si>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</si>
  <si>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</si>
  <si>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</si>
  <si>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</si>
  <si>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</si>
  <si>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</si>
  <si>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</si>
  <si>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</si>
  <si>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</si>
  <si>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</si>
  <si>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</si>
  <si>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</si>
  <si>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</si>
  <si>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</si>
  <si>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</si>
  <si>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</si>
  <si>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</si>
  <si>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</si>
  <si>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</si>
  <si>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</si>
  <si>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</si>
  <si>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</si>
  <si>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</si>
  <si>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</si>
  <si>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</si>
  <si>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</si>
  <si>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</si>
  <si>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</si>
  <si>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</si>
  <si>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</si>
  <si>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</si>
  <si>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</si>
  <si>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</si>
  <si>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</si>
  <si>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</si>
  <si>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</si>
  <si>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</si>
  <si>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</si>
  <si>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</si>
  <si>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</si>
  <si>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</si>
  <si>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</si>
  <si>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</si>
  <si>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</si>
  <si>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</si>
  <si>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</si>
  <si>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</si>
  <si>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</si>
  <si>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</si>
  <si>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</si>
  <si>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</si>
  <si>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</si>
  <si>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</si>
  <si>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</si>
  <si>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</si>
  <si>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</si>
  <si>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</si>
  <si>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</si>
  <si>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</si>
  <si>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</si>
  <si>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</si>
  <si>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</si>
  <si>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</si>
  <si>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</si>
  <si>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</si>
  <si>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</si>
  <si>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</si>
  <si>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</si>
  <si>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</si>
  <si>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</si>
  <si>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</si>
  <si>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</si>
  <si>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</si>
  <si>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</si>
  <si>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</si>
  <si>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</si>
  <si>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</si>
  <si>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</si>
  <si>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</si>
  <si>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</si>
  <si>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</si>
  <si>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</si>
  <si>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</si>
  <si>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</si>
  <si>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</si>
  <si>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</si>
  <si>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</si>
  <si>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</si>
  <si>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</si>
  <si>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</si>
  <si>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</si>
  <si>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</si>
  <si>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</si>
  <si>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</si>
  <si>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</si>
  <si>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</si>
  <si>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</si>
  <si>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</si>
  <si>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</si>
  <si>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</si>
  <si>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</si>
  <si>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</si>
  <si>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</si>
  <si>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</si>
  <si>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</si>
  <si>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</si>
  <si>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</si>
  <si>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</si>
  <si>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</si>
  <si>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</si>
  <si>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</si>
  <si>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</si>
  <si>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</si>
  <si>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</si>
  <si>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</si>
  <si>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</si>
  <si>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</si>
  <si>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</si>
  <si>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</si>
  <si>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</si>
  <si>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</si>
  <si>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</si>
  <si>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</si>
  <si>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</si>
  <si>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</si>
  <si>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</si>
  <si>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</si>
  <si>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</si>
  <si>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</si>
  <si>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Suprimento (Mercado TE)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</si>
  <si>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</si>
  <si>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</si>
  <si>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</si>
  <si>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</si>
  <si>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</si>
  <si>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</si>
  <si>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</si>
  <si>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</si>
  <si>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</si>
  <si>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</si>
  <si>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</si>
  <si>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</si>
  <si>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</si>
  <si>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</si>
  <si>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</si>
  <si>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</si>
  <si>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</si>
  <si>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</si>
  <si>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</si>
  <si>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</si>
  <si>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</si>
  <si>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</si>
  <si>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</si>
  <si>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</si>
  <si>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</si>
  <si>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</si>
  <si>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</si>
  <si>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</si>
  <si>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</si>
  <si>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</si>
  <si>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</si>
  <si>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</si>
  <si>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</si>
  <si>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</si>
  <si>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</si>
  <si>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</si>
  <si>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</si>
  <si>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</si>
  <si>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</si>
  <si>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</si>
  <si>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</si>
  <si>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</si>
  <si>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</si>
  <si>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</si>
  <si>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</si>
  <si>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</si>
  <si>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</si>
  <si>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</si>
  <si>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Contratos Bilaterais ( preencher em caso de ACL)- substituir as informações de suprimento pelos valores contratados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</si>
  <si>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</si>
  <si>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</si>
  <si>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</si>
  <si>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</si>
  <si>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</si>
  <si>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</si>
  <si>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</si>
  <si>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</si>
  <si>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</si>
  <si>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</si>
  <si>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</si>
  <si>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</si>
  <si>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</si>
  <si>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</si>
  <si>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</si>
  <si>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</si>
  <si>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</si>
  <si>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</si>
  <si>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</si>
  <si>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</si>
  <si>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</si>
  <si>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</si>
  <si>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</si>
  <si>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</si>
  <si>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</si>
  <si>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</si>
  <si>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</si>
  <si>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</si>
  <si>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</si>
  <si>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</si>
  <si>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</si>
  <si>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</si>
  <si>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</si>
  <si>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</si>
  <si>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</si>
  <si>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</si>
  <si>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</si>
  <si>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</si>
  <si>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</si>
  <si>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</si>
  <si>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</si>
  <si>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</si>
  <si>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</si>
  <si>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</si>
  <si>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</si>
  <si>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</si>
  <si>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</si>
  <si>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</si>
  <si>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</si>
  <si>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</si>
  <si>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</si>
  <si>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</si>
  <si>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</si>
  <si>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</si>
  <si>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</si>
  <si>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</si>
  <si>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</si>
  <si>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</si>
  <si>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</si>
  <si>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</si>
  <si>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</si>
  <si>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</si>
  <si>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</si>
  <si>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</si>
  <si>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</si>
  <si>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</si>
  <si>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</si>
  <si>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</si>
  <si>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</si>
  <si>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</si>
  <si>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</si>
  <si>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</si>
  <si>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</si>
  <si>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</si>
  <si>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</si>
  <si>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</si>
  <si>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</si>
  <si>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</si>
  <si>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</si>
  <si>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</si>
  <si>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</si>
  <si>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</si>
  <si>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</si>
  <si>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</si>
  <si>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</si>
  <si>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</si>
  <si>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</si>
  <si>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</si>
  <si>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</si>
  <si>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</si>
  <si>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</si>
  <si>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</si>
  <si>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</si>
  <si>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</si>
  <si>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</si>
  <si>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</si>
  <si>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</si>
  <si>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</si>
  <si>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</si>
  <si>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</si>
  <si>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</si>
  <si>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</si>
  <si>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</si>
  <si>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</si>
  <si>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</si>
  <si>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</si>
  <si>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</si>
  <si>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</si>
  <si>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</si>
  <si>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</si>
  <si>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</si>
  <si>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</si>
  <si>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</si>
  <si>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</si>
  <si>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</si>
  <si>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</si>
  <si>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</si>
  <si>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</si>
  <si>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</si>
  <si>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</si>
  <si>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</si>
  <si>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</si>
  <si>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</si>
  <si>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</si>
  <si>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</si>
  <si>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</si>
  <si>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</si>
  <si>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</si>
  <si>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</si>
  <si>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</si>
  <si>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</si>
  <si>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</si>
  <si>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</si>
  <si>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</si>
  <si>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</si>
  <si>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</si>
  <si>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</si>
  <si>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</si>
  <si>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</si>
  <si>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</si>
  <si>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</si>
  <si>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</si>
  <si>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</si>
  <si>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</si>
  <si>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</si>
  <si>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</si>
  <si>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</si>
  <si>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</si>
  <si>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</si>
  <si>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</si>
  <si>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</si>
  <si>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</si>
  <si>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</si>
  <si>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</si>
  <si>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</si>
  <si>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</si>
  <si>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</si>
  <si>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</si>
  <si>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</si>
  <si>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</si>
  <si>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</si>
  <si>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</si>
  <si>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</si>
  <si>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</si>
  <si>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</si>
  <si>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</si>
  <si>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</si>
  <si>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</si>
  <si>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</si>
  <si>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</si>
  <si>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</si>
  <si>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</si>
  <si>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</si>
  <si>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</si>
  <si>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</si>
  <si>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</si>
  <si>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</si>
  <si>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</si>
  <si>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</si>
  <si>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</si>
  <si>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Financeiros associados ao §7º do Art. 88 da Ren 414/2021</t>
  </si>
  <si>
    <t>CVA ccc</t>
  </si>
  <si>
    <t>CVA cde</t>
  </si>
  <si>
    <t>CVA cde energia</t>
  </si>
  <si>
    <t>CVA RB - Nodal</t>
  </si>
  <si>
    <t>CVA RB - Fronteira</t>
  </si>
  <si>
    <t>CVA RB - TUSDg EXP</t>
  </si>
  <si>
    <t>CVA RB - TUSDg ONS</t>
  </si>
  <si>
    <t>CVA RB - EUST Itaipu</t>
  </si>
  <si>
    <t>CVA - Transporte Itaipu</t>
  </si>
  <si>
    <t>CVA - Energia - Energia de Revenda</t>
  </si>
  <si>
    <t>CVA - Energia - Perda Não Técnica</t>
  </si>
  <si>
    <t>CVA - Energia - Perda Técnica</t>
  </si>
  <si>
    <t>CVA - Energia -  Perda de RB sobre a distribuição</t>
  </si>
  <si>
    <t>CVA - Energia -  Perda de RB sobre o mercado cativo</t>
  </si>
  <si>
    <t>CVA - Encargos - PROINFA</t>
  </si>
  <si>
    <t>CVA - Encargos - CFURH</t>
  </si>
  <si>
    <t>CVA - Encargos - ESS/EER</t>
  </si>
  <si>
    <t>Saldo a Compensar CVAccc</t>
  </si>
  <si>
    <t>Saldo a Compensar CVAcde</t>
  </si>
  <si>
    <t>Saldo a Compensar CVA cde energia</t>
  </si>
  <si>
    <t>Saldo a Compensar CVA RB - Nodal</t>
  </si>
  <si>
    <t>Saldo a Compensar CVA RB - Fronteira</t>
  </si>
  <si>
    <t>Saldo a Compensar CVA RB - TUSDg EXP</t>
  </si>
  <si>
    <t>Saldo a Compensar CVA RB - TUSDg ONS</t>
  </si>
  <si>
    <t>Saldo a Compensar CVA RB - EUST Itaipu</t>
  </si>
  <si>
    <t>Saldo a Compensar CVA - Transporte Itaipu</t>
  </si>
  <si>
    <t>Saldo a Compensar CVA - Energia - Energia de Revenda</t>
  </si>
  <si>
    <t>Saldo a Compensar CVA - Energia - Perda Não Técnica</t>
  </si>
  <si>
    <t>Saldo a Compensar CVA - Energia - Perda Técnica</t>
  </si>
  <si>
    <t>Saldo a Compensar CVA - Energia -  Perda de RB sobre a distribuição</t>
  </si>
  <si>
    <t>Saldo a Compensar CVA - Energia -  Perda de RB sobre o mercado cativo</t>
  </si>
  <si>
    <t>Saldo a Compensar CVA - Encargos - PROINFA</t>
  </si>
  <si>
    <t>Saldo a Compensar CVA - Encargos - CFURH</t>
  </si>
  <si>
    <t>Saldo a Compensar CVA - Encargos - ESS/EER</t>
  </si>
  <si>
    <t>Reversão de Risco Hidrológico</t>
  </si>
  <si>
    <t>CVA em Processamento e Saldo a Compensar</t>
  </si>
  <si>
    <t xml:space="preserve"> Dados da CVA em Processamento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</si>
  <si>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</si>
  <si>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</si>
  <si>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</si>
  <si>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</si>
  <si>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</si>
  <si>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</si>
  <si>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</si>
  <si>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</si>
  <si>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</si>
  <si>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</si>
  <si>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</si>
  <si>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</si>
  <si>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</si>
  <si>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</si>
  <si>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</si>
  <si>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</si>
  <si>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</si>
  <si>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</si>
  <si>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</si>
  <si>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</si>
  <si>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</si>
  <si>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</si>
  <si>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</si>
  <si>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</si>
  <si>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</si>
  <si>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</si>
  <si>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</si>
  <si>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</si>
  <si>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</si>
  <si>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</si>
  <si>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</si>
  <si>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</si>
  <si>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</si>
  <si>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</si>
  <si>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</si>
  <si>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</si>
  <si>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</si>
  <si>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</si>
  <si>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</si>
  <si>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</si>
  <si>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</si>
  <si>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</si>
  <si>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</si>
  <si>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</si>
  <si>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</si>
  <si>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</si>
  <si>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</si>
  <si>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</si>
  <si>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</si>
  <si>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</si>
  <si>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</si>
  <si>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</si>
  <si>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</si>
  <si>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</si>
  <si>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</si>
  <si>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</si>
  <si>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</si>
  <si>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</si>
  <si>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</si>
  <si>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</si>
  <si>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</si>
  <si>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</si>
  <si>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</si>
  <si>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</si>
  <si>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</si>
  <si>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</si>
  <si>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</si>
  <si>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</si>
  <si>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</si>
  <si>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</si>
  <si>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</si>
  <si>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</si>
  <si>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</si>
  <si>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</si>
  <si>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</si>
  <si>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</si>
  <si>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</si>
  <si>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</si>
  <si>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</si>
  <si>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</si>
  <si>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</si>
  <si>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</si>
  <si>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</si>
  <si>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</si>
  <si>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 xml:space="preserve">Neutralidade ONS 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</si>
  <si>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</si>
  <si>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</si>
  <si>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</si>
  <si>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</si>
  <si>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</si>
  <si>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</si>
  <si>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</si>
  <si>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</si>
  <si>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</si>
  <si>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</si>
  <si>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</si>
  <si>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</si>
  <si>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</si>
  <si>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</si>
  <si>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</si>
  <si>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</si>
  <si>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</si>
  <si>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</si>
  <si>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</si>
  <si>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</si>
  <si>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</si>
  <si>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</si>
  <si>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</si>
  <si>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</si>
  <si>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</si>
  <si>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</si>
  <si>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</si>
  <si>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</si>
  <si>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</si>
  <si>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</si>
  <si>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</si>
  <si>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</si>
  <si>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</si>
  <si>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</si>
  <si>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</si>
  <si>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</si>
  <si>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</si>
  <si>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</si>
  <si>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</si>
  <si>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</si>
  <si>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</si>
  <si>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</si>
  <si>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</si>
  <si>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</si>
  <si>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</si>
  <si>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</si>
  <si>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</si>
  <si>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</si>
  <si>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</si>
  <si>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</si>
  <si>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</si>
  <si>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</si>
  <si>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</si>
  <si>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</si>
  <si>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</si>
  <si>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</si>
  <si>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</si>
  <si>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</si>
  <si>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</si>
  <si>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</si>
  <si>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</si>
  <si>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</si>
  <si>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</si>
  <si>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</si>
  <si>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</si>
  <si>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</si>
  <si>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</si>
  <si>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</si>
  <si>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</si>
  <si>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</si>
  <si>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</si>
  <si>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</si>
  <si>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</si>
  <si>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</si>
  <si>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</si>
  <si>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</si>
  <si>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</si>
  <si>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</si>
  <si>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</si>
  <si>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</si>
  <si>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</si>
  <si>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</si>
  <si>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</si>
  <si>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</si>
  <si>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</si>
  <si>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</si>
  <si>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</si>
  <si>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</si>
  <si>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</si>
  <si>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</si>
  <si>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</si>
  <si>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</si>
  <si>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</si>
  <si>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</si>
  <si>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</si>
  <si>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</si>
  <si>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</si>
  <si>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</si>
  <si>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</si>
  <si>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</si>
  <si>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</si>
  <si>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</si>
  <si>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</si>
  <si>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</si>
  <si>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</si>
  <si>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</si>
  <si>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</si>
  <si>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</si>
  <si>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</si>
  <si>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</si>
  <si>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</si>
  <si>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</si>
  <si>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</si>
  <si>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</si>
  <si>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</si>
  <si>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</si>
  <si>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</si>
  <si>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</si>
  <si>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</si>
  <si>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</si>
  <si>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</si>
  <si>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</si>
  <si>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</si>
  <si>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</si>
  <si>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</si>
  <si>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</si>
  <si>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</si>
  <si>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</si>
  <si>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</si>
  <si>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</si>
  <si>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</si>
  <si>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</si>
  <si>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</si>
  <si>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</si>
  <si>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</si>
  <si>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</si>
  <si>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</si>
  <si>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</si>
  <si>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</si>
  <si>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</si>
  <si>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</si>
  <si>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</si>
  <si>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</si>
  <si>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</si>
  <si>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</si>
  <si>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</si>
  <si>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</si>
  <si>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</si>
  <si>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</si>
  <si>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</si>
  <si>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</si>
  <si>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</si>
  <si>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</si>
  <si>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</si>
  <si>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</si>
  <si>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</si>
  <si>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</si>
  <si>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</si>
  <si>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</si>
  <si>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</si>
  <si>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</si>
  <si>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</si>
  <si>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</si>
  <si>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</si>
  <si>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</si>
  <si>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</si>
  <si>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</si>
  <si>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</si>
  <si>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</si>
  <si>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</si>
  <si>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</si>
  <si>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</si>
  <si>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</si>
  <si>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</si>
  <si>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</si>
  <si>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</si>
  <si>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</si>
  <si>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</si>
  <si>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</si>
  <si>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</si>
  <si>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</si>
  <si>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</si>
  <si>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</si>
  <si>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</si>
  <si>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</si>
  <si>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</si>
  <si>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</si>
  <si>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</si>
  <si>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</si>
  <si>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</si>
  <si>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</si>
  <si>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</si>
  <si>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</si>
  <si>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</si>
  <si>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</si>
  <si>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</si>
  <si>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</si>
  <si>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</si>
  <si>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</si>
  <si>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</si>
  <si>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</si>
  <si>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</si>
  <si>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</si>
  <si>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</si>
  <si>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</si>
  <si>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</si>
  <si>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</si>
  <si>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</si>
  <si>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</si>
  <si>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</si>
  <si>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</si>
  <si>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</si>
  <si>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</si>
  <si>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</si>
  <si>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</si>
  <si>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</si>
  <si>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</si>
  <si>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</si>
  <si>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</si>
  <si>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</si>
  <si>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</si>
  <si>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</si>
  <si>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</si>
  <si>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</si>
  <si>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</si>
  <si>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</si>
  <si>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</si>
  <si>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</si>
  <si>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</si>
  <si>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</si>
  <si>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</si>
  <si>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</si>
  <si>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</si>
  <si>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</si>
  <si>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</si>
  <si>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</si>
  <si>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</si>
  <si>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</si>
  <si>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</si>
  <si>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</si>
  <si>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</si>
  <si>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</si>
  <si>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</si>
  <si>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</si>
  <si>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</si>
  <si>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</si>
  <si>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</si>
  <si>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</si>
  <si>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</si>
  <si>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</si>
  <si>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</si>
  <si>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</si>
  <si>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</si>
  <si>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</si>
  <si>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</si>
  <si>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</si>
  <si>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</si>
  <si>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</si>
  <si>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</si>
  <si>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</si>
  <si>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</si>
  <si>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</si>
  <si>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</si>
  <si>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</si>
  <si>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</si>
  <si>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</si>
  <si>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</si>
  <si>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</si>
  <si>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</si>
  <si>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</si>
  <si>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</si>
  <si>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</si>
  <si>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</si>
  <si>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</si>
  <si>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</si>
  <si>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</si>
  <si>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</si>
  <si>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</si>
  <si>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</si>
  <si>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</si>
  <si>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</si>
  <si>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</si>
  <si>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</si>
  <si>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</si>
  <si>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</si>
  <si>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</si>
  <si>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</si>
  <si>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</si>
  <si>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</si>
  <si>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</si>
  <si>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</si>
  <si>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</si>
  <si>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</si>
  <si>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</si>
  <si>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</si>
  <si>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</si>
  <si>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</si>
  <si>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</si>
  <si>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</si>
  <si>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</si>
  <si>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</si>
  <si>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</si>
  <si>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</si>
  <si>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</si>
  <si>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</si>
  <si>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</si>
  <si>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</si>
  <si>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</si>
  <si>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</si>
  <si>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</si>
  <si>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</si>
  <si>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</si>
  <si>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</si>
  <si>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</si>
  <si>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</si>
  <si>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</si>
  <si>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</si>
  <si>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</si>
  <si>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</si>
  <si>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</si>
  <si>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</si>
  <si>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</si>
  <si>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</si>
  <si>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</si>
  <si>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</si>
  <si>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</si>
  <si>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</si>
  <si>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</si>
  <si>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</si>
  <si>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</si>
  <si>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</si>
  <si>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</si>
  <si>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</si>
  <si>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</si>
  <si>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</si>
  <si>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</si>
  <si>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</si>
  <si>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</si>
  <si>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</si>
  <si>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</si>
  <si>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</si>
  <si>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</si>
  <si>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</si>
  <si>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</si>
  <si>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</si>
  <si>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</si>
  <si>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</si>
  <si>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</si>
  <si>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</si>
  <si>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</si>
  <si>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</si>
  <si>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</si>
  <si>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</si>
  <si>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</si>
  <si>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</si>
  <si>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</si>
  <si>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</si>
  <si>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</si>
  <si>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</si>
  <si>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</si>
  <si>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</si>
  <si>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</si>
  <si>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</si>
  <si>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</si>
  <si>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</si>
  <si>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</si>
  <si>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</si>
  <si>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</si>
  <si>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</si>
  <si>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</si>
  <si>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</si>
  <si>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</si>
  <si>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</si>
  <si>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</si>
  <si>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</si>
  <si>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</si>
  <si>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</si>
  <si>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</si>
  <si>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</si>
  <si>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</si>
  <si>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</si>
  <si>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</si>
  <si>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</si>
  <si>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</si>
  <si>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</si>
  <si>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</si>
  <si>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</si>
  <si>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</si>
  <si>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</si>
  <si>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</si>
  <si>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</si>
  <si>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</si>
  <si>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</si>
  <si>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</si>
  <si>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</si>
  <si>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</si>
  <si>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</si>
  <si>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</si>
  <si>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</si>
  <si>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</si>
  <si>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</si>
  <si>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</si>
  <si>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</si>
  <si>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</si>
  <si>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</si>
  <si>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</si>
  <si>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</si>
  <si>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</si>
  <si>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</si>
  <si>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</si>
  <si>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</si>
  <si>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</si>
  <si>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</si>
  <si>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</si>
  <si>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</si>
  <si>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</si>
  <si>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</si>
  <si>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</si>
  <si>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</si>
  <si>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</si>
  <si>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</si>
  <si>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</si>
  <si>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</si>
  <si>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</si>
  <si>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</si>
  <si>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</si>
  <si>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</si>
  <si>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</si>
  <si>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</si>
  <si>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</si>
  <si>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</si>
  <si>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</si>
  <si>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</si>
  <si>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</si>
  <si>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</si>
  <si>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</si>
  <si>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</si>
  <si>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</si>
  <si>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</si>
  <si>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</si>
  <si>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</si>
  <si>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</si>
  <si>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</si>
  <si>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</si>
  <si>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</si>
  <si>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</si>
  <si>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</si>
  <si>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</si>
  <si>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</si>
  <si>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</si>
  <si>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</si>
  <si>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</si>
  <si>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</si>
  <si>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</si>
  <si>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</si>
  <si>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</si>
  <si>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</si>
  <si>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</si>
  <si>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</si>
  <si>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</si>
  <si>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</si>
  <si>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</si>
  <si>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</si>
  <si>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</si>
  <si>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</si>
  <si>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</si>
  <si>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</si>
  <si>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</si>
  <si>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</si>
  <si>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</si>
  <si>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</si>
  <si>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</si>
  <si>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</si>
  <si>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</si>
  <si>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</si>
  <si>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</si>
  <si>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</si>
  <si>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</si>
  <si>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</si>
  <si>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</si>
  <si>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</si>
  <si>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</si>
  <si>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</si>
  <si>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</si>
  <si>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</si>
  <si>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</si>
  <si>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</si>
  <si>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</si>
  <si>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</si>
  <si>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</si>
  <si>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</si>
  <si>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</si>
  <si>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</si>
  <si>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</si>
  <si>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</si>
  <si>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</si>
  <si>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</si>
  <si>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</si>
  <si>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</si>
  <si>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</si>
  <si>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</si>
  <si>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</si>
  <si>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</si>
  <si>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</si>
  <si>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</si>
  <si>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</si>
  <si>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</si>
  <si>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</si>
  <si>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</si>
  <si>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</si>
  <si>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</si>
  <si>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</si>
  <si>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</si>
  <si>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</si>
  <si>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</si>
  <si>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</si>
  <si>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</si>
  <si>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</si>
  <si>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</si>
  <si>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</si>
  <si>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</si>
  <si>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</si>
  <si>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</si>
  <si>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</si>
  <si>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</si>
  <si>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</si>
  <si>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</si>
  <si>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</si>
  <si>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</si>
  <si>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</si>
  <si>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</si>
  <si>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</si>
  <si>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</si>
  <si>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</si>
  <si>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</si>
  <si>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</si>
  <si>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</si>
  <si>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</si>
  <si>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</si>
  <si>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</si>
  <si>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</si>
  <si>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</si>
  <si>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</si>
  <si>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</si>
  <si>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</si>
  <si>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</si>
  <si>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</si>
  <si>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</si>
  <si>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</si>
  <si>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</si>
  <si>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</si>
  <si>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</si>
  <si>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</si>
  <si>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</si>
  <si>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</si>
  <si>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</si>
  <si>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</si>
  <si>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</si>
  <si>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</si>
  <si>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</si>
  <si>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</si>
  <si>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</si>
  <si>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</si>
  <si>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</si>
  <si>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</si>
  <si>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</si>
  <si>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</si>
  <si>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</si>
  <si>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</si>
  <si>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</si>
  <si>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</si>
  <si>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</si>
  <si>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</si>
  <si>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</si>
  <si>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</si>
  <si>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</si>
  <si>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</si>
  <si>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</si>
  <si>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</si>
  <si>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</si>
  <si>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</si>
  <si>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</si>
  <si>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</si>
  <si>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</si>
  <si>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</si>
  <si>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</si>
  <si>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</si>
  <si>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</si>
  <si>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</si>
  <si>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</si>
  <si>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</si>
  <si>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</si>
  <si>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</si>
  <si>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</si>
  <si>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</si>
  <si>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</si>
  <si>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</si>
  <si>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</si>
  <si>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</si>
  <si>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</si>
  <si>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</si>
  <si>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</si>
  <si>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</si>
  <si>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</si>
  <si>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</si>
  <si>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</si>
  <si>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</si>
  <si>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</si>
  <si>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</si>
  <si>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</si>
  <si>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</si>
  <si>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</si>
  <si>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</si>
  <si>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</si>
  <si>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</si>
  <si>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</si>
  <si>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</si>
  <si>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</si>
  <si>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</si>
  <si>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</si>
  <si>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</si>
  <si>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</si>
  <si>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</si>
  <si>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</si>
  <si>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</si>
  <si>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</si>
  <si>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</si>
  <si>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</si>
  <si>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</si>
  <si>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</si>
  <si>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</si>
  <si>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</si>
  <si>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</si>
  <si>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</si>
  <si>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</si>
  <si>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</si>
  <si>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</si>
  <si>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</si>
  <si>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</si>
  <si>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</si>
  <si>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</si>
  <si>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</si>
  <si>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</si>
  <si>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</si>
  <si>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</si>
  <si>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</si>
  <si>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</si>
  <si>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</si>
  <si>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</si>
  <si>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</si>
  <si>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</si>
  <si>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</si>
  <si>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</si>
  <si>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</si>
  <si>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</si>
  <si>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</si>
  <si>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</si>
  <si>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</si>
  <si>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</si>
  <si>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</si>
  <si>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</si>
  <si>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</si>
  <si>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</si>
  <si>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</si>
  <si>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</si>
  <si>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</si>
  <si>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</si>
  <si>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</si>
  <si>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</si>
  <si>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</si>
  <si>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</si>
  <si>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</si>
  <si>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</si>
  <si>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</si>
  <si>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</si>
  <si>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</si>
  <si>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</si>
  <si>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</si>
  <si>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</si>
  <si>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</si>
  <si>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</si>
  <si>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</si>
  <si>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</si>
  <si>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</si>
  <si>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</si>
  <si>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</si>
  <si>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Contrato de suprimento 1</t>
  </si>
  <si>
    <t>Contrato de suprimento 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</si>
  <si>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</si>
  <si>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</si>
  <si>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</si>
  <si>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</si>
  <si>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</si>
  <si>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</si>
  <si>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</si>
  <si>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</si>
  <si>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</si>
  <si>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</si>
  <si>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CDE Covid</t>
  </si>
  <si>
    <t>CDE Covid TE%</t>
  </si>
  <si>
    <t>CDE Covid TUSD%</t>
  </si>
  <si>
    <t>A4 (2,3 a 25 kV)</t>
  </si>
  <si>
    <t>COVID</t>
  </si>
  <si>
    <t>Conta Covid -19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</si>
  <si>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</si>
  <si>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</si>
  <si>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</si>
  <si>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</si>
  <si>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</si>
  <si>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</si>
  <si>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</si>
  <si>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</si>
  <si>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</si>
  <si>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</si>
  <si>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</si>
  <si>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Neutralidade Conta Covid</t>
  </si>
  <si>
    <t>Sandoval Araújo Feitosa Neto</t>
  </si>
  <si>
    <t>48500.004969/2021-88</t>
  </si>
  <si>
    <t>Fora ponta</t>
  </si>
  <si>
    <t>Energia suprimento permissionária</t>
  </si>
  <si>
    <t>RESOLUÇÃO HOMOLOGATÓRIA Nº 3.023, DE 19 DE ABRIL DE 2022</t>
  </si>
  <si>
    <t>5377</t>
  </si>
  <si>
    <t>COOPERATIVA DE ELETRIFICACAO E DESENVOLVIMENTO RURAL CENTRO SUL DE SERGIPE LTDA</t>
  </si>
  <si>
    <t>6587</t>
  </si>
  <si>
    <t>ENERGISA SERGIPE - DISTRIBUIDORA DE ENERGIA S.A</t>
  </si>
  <si>
    <t>Convencional</t>
  </si>
  <si>
    <t>CATIVO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</si>
  <si>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</si>
  <si>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</si>
  <si>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</si>
  <si>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</si>
  <si>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</si>
  <si>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</si>
  <si>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</si>
  <si>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</si>
  <si>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</si>
  <si>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</si>
  <si>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</si>
  <si>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</si>
  <si>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</si>
  <si>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</si>
  <si>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</si>
  <si>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</si>
  <si>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</si>
  <si>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</si>
  <si>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FinCT_Subsidio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</si>
  <si>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</si>
  <si>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</si>
  <si>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</si>
  <si>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</si>
  <si>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</si>
  <si>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</si>
  <si>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</si>
  <si>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</si>
  <si>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</si>
  <si>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PERSAS 123</t>
  </si>
  <si>
    <t>CONTRATO CCE nº 04/2014</t>
  </si>
  <si>
    <t>Reversão Postergação Covid Tusd em 2021</t>
  </si>
  <si>
    <t>Reversão Postergação Covid TE em 2021</t>
  </si>
  <si>
    <t>Diferimento de Energia - Pleito</t>
  </si>
  <si>
    <t xml:space="preserve">v.13 </t>
  </si>
  <si>
    <t>atualização mês 04/22 e pleito diferimento da empresa</t>
  </si>
  <si>
    <t xml:space="preserve">V.14 </t>
  </si>
  <si>
    <t>Simulação do valor do diferimento</t>
  </si>
  <si>
    <t>Ofício nº 25/2022, de 29/04/2022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</si>
</sst>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19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2"/>
      <color rgb="FFFF0000"/>
      <name val="Arial Narrow"/>
      <family val="2"/>
    </font>
  </fonts>
  <fills count="130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lightGray">
        <bgColor theme="0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20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444">
    <xf numFmtId="0" fontId="0" fillId="0" borderId="0"/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2" fillId="0" borderId="0"/>
    <xf numFmtId="0" fontId="32" fillId="0" borderId="0"/>
    <xf numFmtId="0" fontId="32" fillId="0" borderId="0"/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2" fillId="0" borderId="0"/>
    <xf numFmtId="0" fontId="32" fillId="0" borderId="0"/>
    <xf numFmtId="0" fontId="32" fillId="0" borderId="0"/>
    <xf numFmtId="3" fontId="49" fillId="2" borderId="0">
      <alignment horizontal="left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3" fontId="51" fillId="9" borderId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3" fillId="0" borderId="0"/>
    <xf numFmtId="0" fontId="54" fillId="0" borderId="0"/>
    <xf numFmtId="0" fontId="54" fillId="0" borderId="0"/>
    <xf numFmtId="37" fontId="55" fillId="0" borderId="0"/>
    <xf numFmtId="0" fontId="55" fillId="0" borderId="1" applyBorder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77" fontId="33" fillId="22" borderId="2">
      <alignment horizontal="center" vertical="center"/>
    </xf>
    <xf numFmtId="0" fontId="42" fillId="0" borderId="0"/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3" fontId="56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58" fillId="4" borderId="0" applyNumberFormat="0" applyBorder="0" applyAlignment="0" applyProtection="0"/>
    <xf numFmtId="0" fontId="59" fillId="0" borderId="0" applyNumberFormat="0" applyFill="0" applyBorder="0" applyAlignment="0" applyProtection="0"/>
    <xf numFmtId="0" fontId="32" fillId="0" borderId="0" applyNumberFormat="0" applyFill="0" applyBorder="0" applyAlignment="0"/>
    <xf numFmtId="178" fontId="60" fillId="0" borderId="0">
      <alignment vertical="top"/>
    </xf>
    <xf numFmtId="179" fontId="61" fillId="0" borderId="3"/>
    <xf numFmtId="0" fontId="62" fillId="5" borderId="0" applyNumberFormat="0" applyBorder="0" applyAlignment="0" applyProtection="0"/>
    <xf numFmtId="0" fontId="63" fillId="0" borderId="0">
      <protection locked="0"/>
    </xf>
    <xf numFmtId="0" fontId="63" fillId="0" borderId="0">
      <protection locked="0"/>
    </xf>
    <xf numFmtId="14" fontId="64" fillId="24" borderId="4" applyBorder="0" applyAlignment="0">
      <alignment horizontal="center" vertical="center"/>
    </xf>
    <xf numFmtId="0" fontId="64" fillId="25" borderId="4" applyNumberFormat="0" applyBorder="0" applyAlignment="0">
      <alignment horizontal="center" vertical="center"/>
    </xf>
    <xf numFmtId="180" fontId="42" fillId="0" borderId="0" applyFill="0" applyBorder="0" applyAlignment="0"/>
    <xf numFmtId="178" fontId="65" fillId="0" borderId="0" applyFill="0" applyBorder="0" applyAlignment="0"/>
    <xf numFmtId="174" fontId="65" fillId="0" borderId="0" applyFill="0" applyBorder="0" applyAlignment="0"/>
    <xf numFmtId="175" fontId="47" fillId="0" borderId="0" applyFill="0" applyBorder="0" applyAlignment="0"/>
    <xf numFmtId="181" fontId="32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6" fillId="26" borderId="5" applyNumberFormat="0" applyAlignment="0" applyProtection="0"/>
    <xf numFmtId="0" fontId="66" fillId="26" borderId="5" applyNumberFormat="0" applyAlignment="0" applyProtection="0"/>
    <xf numFmtId="40" fontId="65" fillId="23" borderId="6">
      <alignment vertical="center"/>
    </xf>
    <xf numFmtId="0" fontId="67" fillId="27" borderId="7" applyNumberFormat="0" applyAlignment="0" applyProtection="0"/>
    <xf numFmtId="0" fontId="68" fillId="0" borderId="8" applyNumberFormat="0" applyFill="0" applyAlignment="0" applyProtection="0"/>
    <xf numFmtId="0" fontId="67" fillId="27" borderId="7" applyNumberFormat="0" applyAlignment="0" applyProtection="0"/>
    <xf numFmtId="0" fontId="69" fillId="28" borderId="9" applyFont="0" applyFill="0" applyBorder="0"/>
    <xf numFmtId="0" fontId="44" fillId="0" borderId="10"/>
    <xf numFmtId="0" fontId="70" fillId="0" borderId="11"/>
    <xf numFmtId="41" fontId="114" fillId="0" borderId="0" applyFont="0" applyFill="0" applyBorder="0" applyAlignment="0" applyProtection="0"/>
    <xf numFmtId="180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43" fontId="114" fillId="0" borderId="0" applyFont="0" applyFill="0" applyBorder="0" applyAlignment="0" applyProtection="0"/>
    <xf numFmtId="3" fontId="71" fillId="0" borderId="0" applyFont="0" applyFill="0" applyBorder="0" applyAlignment="0" applyProtection="0"/>
    <xf numFmtId="168" fontId="32" fillId="29" borderId="0" applyNumberFormat="0" applyFont="0" applyBorder="0" applyAlignment="0" applyProtection="0"/>
    <xf numFmtId="0" fontId="70" fillId="0" borderId="11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198" fontId="114" fillId="0" borderId="0" applyFont="0" applyFill="0" applyBorder="0" applyAlignment="0" applyProtection="0"/>
    <xf numFmtId="178" fontId="65" fillId="0" borderId="0" applyFont="0" applyFill="0" applyBorder="0" applyAlignment="0" applyProtection="0"/>
    <xf numFmtId="199" fontId="114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63" fillId="0" borderId="0">
      <protection locked="0"/>
    </xf>
    <xf numFmtId="169" fontId="73" fillId="0" borderId="0">
      <protection locked="0"/>
    </xf>
    <xf numFmtId="14" fontId="41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39" fontId="70" fillId="0" borderId="0" applyFont="0" applyFill="0" applyBorder="0" applyAlignment="0" applyProtection="0"/>
    <xf numFmtId="0" fontId="72" fillId="0" borderId="0" applyFont="0" applyFill="0" applyBorder="0" applyAlignment="0"/>
    <xf numFmtId="183" fontId="4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74" fillId="8" borderId="5" applyNumberFormat="0" applyAlignment="0" applyProtection="0"/>
    <xf numFmtId="0" fontId="46" fillId="0" borderId="0">
      <alignment vertical="center"/>
    </xf>
    <xf numFmtId="184" fontId="32" fillId="0" borderId="0" applyFont="0" applyFill="0" applyBorder="0" applyAlignment="0" applyProtection="0"/>
    <xf numFmtId="3" fontId="40" fillId="0" borderId="13" applyFill="0" applyBorder="0"/>
    <xf numFmtId="0" fontId="75" fillId="0" borderId="0" applyNumberFormat="0" applyFill="0" applyBorder="0" applyAlignment="0" applyProtection="0"/>
    <xf numFmtId="37" fontId="76" fillId="0" borderId="0" applyBorder="0" applyAlignment="0"/>
    <xf numFmtId="185" fontId="32" fillId="0" borderId="0">
      <protection locked="0"/>
    </xf>
    <xf numFmtId="186" fontId="63" fillId="0" borderId="0">
      <protection locked="0"/>
    </xf>
    <xf numFmtId="0" fontId="115" fillId="0" borderId="0" applyNumberFormat="0" applyFill="0" applyBorder="0" applyAlignment="0" applyProtection="0">
      <alignment vertical="top"/>
      <protection locked="0"/>
    </xf>
    <xf numFmtId="0" fontId="77" fillId="23" borderId="0" applyNumberFormat="0" applyFont="0" applyBorder="0" applyAlignment="0" applyProtection="0">
      <alignment horizontal="centerContinuous"/>
    </xf>
    <xf numFmtId="0" fontId="77" fillId="30" borderId="0" applyNumberFormat="0" applyFont="0" applyBorder="0" applyAlignment="0" applyProtection="0">
      <alignment horizontal="centerContinuous"/>
    </xf>
    <xf numFmtId="0" fontId="78" fillId="9" borderId="14" applyNumberFormat="0" applyFont="0" applyBorder="0" applyAlignment="0"/>
    <xf numFmtId="0" fontId="42" fillId="23" borderId="15" applyNumberFormat="0" applyFont="0" applyBorder="0" applyAlignment="0" applyProtection="0"/>
    <xf numFmtId="10" fontId="32" fillId="23" borderId="0" applyNumberFormat="0" applyFont="0" applyBorder="0" applyAlignment="0"/>
    <xf numFmtId="0" fontId="62" fillId="5" borderId="0" applyNumberFormat="0" applyBorder="0" applyAlignment="0" applyProtection="0"/>
    <xf numFmtId="38" fontId="79" fillId="9" borderId="0" applyNumberFormat="0" applyBorder="0" applyAlignment="0" applyProtection="0"/>
    <xf numFmtId="0" fontId="80" fillId="0" borderId="0" applyNumberFormat="0" applyFill="0" applyBorder="0" applyAlignment="0" applyProtection="0"/>
    <xf numFmtId="0" fontId="81" fillId="0" borderId="16" applyNumberFormat="0" applyAlignment="0" applyProtection="0">
      <alignment horizontal="left" vertical="center"/>
    </xf>
    <xf numFmtId="0" fontId="81" fillId="0" borderId="17">
      <alignment horizontal="left" vertical="center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0" fontId="85" fillId="0" borderId="19" applyNumberFormat="0" applyFill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46" fillId="0" borderId="0"/>
    <xf numFmtId="37" fontId="86" fillId="0" borderId="0" applyFill="0" applyBorder="0" applyAlignment="0">
      <protection locked="0"/>
    </xf>
    <xf numFmtId="0" fontId="86" fillId="0" borderId="20" applyFill="0" applyBorder="0" applyAlignment="0">
      <alignment horizontal="center"/>
      <protection locked="0"/>
    </xf>
    <xf numFmtId="10" fontId="79" fillId="23" borderId="6" applyNumberFormat="0" applyBorder="0" applyAlignment="0" applyProtection="0"/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8" fillId="0" borderId="8" applyNumberFormat="0" applyFill="0" applyAlignment="0" applyProtection="0"/>
    <xf numFmtId="167" fontId="30" fillId="0" borderId="0" applyFont="0" applyFill="0" applyBorder="0" applyAlignment="0" applyProtection="0"/>
    <xf numFmtId="188" fontId="63" fillId="0" borderId="0">
      <protection locked="0"/>
    </xf>
    <xf numFmtId="0" fontId="32" fillId="0" borderId="0" applyFont="0" applyFill="0" applyBorder="0" applyAlignment="0" applyProtection="0"/>
    <xf numFmtId="3" fontId="87" fillId="2" borderId="1">
      <alignment horizontal="center"/>
    </xf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37" fontId="89" fillId="0" borderId="0"/>
    <xf numFmtId="189" fontId="90" fillId="0" borderId="0"/>
    <xf numFmtId="190" fontId="91" fillId="0" borderId="0"/>
    <xf numFmtId="191" fontId="91" fillId="0" borderId="0"/>
    <xf numFmtId="0" fontId="32" fillId="0" borderId="0" applyFill="0" applyBorder="0" applyAlignment="0"/>
    <xf numFmtId="0" fontId="32" fillId="0" borderId="0">
      <alignment vertical="top"/>
    </xf>
    <xf numFmtId="0" fontId="42" fillId="0" borderId="0"/>
    <xf numFmtId="0" fontId="42" fillId="0" borderId="0"/>
    <xf numFmtId="0" fontId="32" fillId="0" borderId="0"/>
    <xf numFmtId="0" fontId="42" fillId="0" borderId="0"/>
    <xf numFmtId="0" fontId="32" fillId="0" borderId="0"/>
    <xf numFmtId="0" fontId="42" fillId="0" borderId="0"/>
    <xf numFmtId="0" fontId="42" fillId="0" borderId="0"/>
    <xf numFmtId="0" fontId="32" fillId="0" borderId="0" applyProtection="0"/>
    <xf numFmtId="0" fontId="42" fillId="32" borderId="21" applyNumberFormat="0" applyFont="0" applyAlignment="0" applyProtection="0"/>
    <xf numFmtId="0" fontId="32" fillId="32" borderId="21" applyNumberFormat="0" applyFont="0" applyAlignment="0" applyProtection="0"/>
    <xf numFmtId="0" fontId="92" fillId="26" borderId="22" applyNumberFormat="0" applyAlignment="0" applyProtection="0"/>
    <xf numFmtId="0" fontId="93" fillId="33" borderId="0"/>
    <xf numFmtId="0" fontId="32" fillId="0" borderId="23" applyFont="0" applyFill="0" applyBorder="0" applyAlignment="0" applyProtection="0">
      <alignment horizontal="right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4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0" fillId="22" borderId="24" applyNumberFormat="0" applyFon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14" fontId="64" fillId="34" borderId="19" applyNumberFormat="0" applyFont="0" applyBorder="0" applyAlignment="0" applyProtection="0">
      <alignment horizontal="center" vertical="center"/>
    </xf>
    <xf numFmtId="3" fontId="94" fillId="0" borderId="0" applyFill="0" applyBorder="0" applyAlignment="0" applyProtection="0"/>
    <xf numFmtId="3" fontId="45" fillId="0" borderId="0" applyFill="0" applyBorder="0" applyAlignment="0" applyProtection="0"/>
    <xf numFmtId="3" fontId="94" fillId="0" borderId="0" applyFill="0" applyBorder="0" applyAlignment="0" applyProtection="0"/>
    <xf numFmtId="0" fontId="92" fillId="26" borderId="22" applyNumberFormat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68" fontId="3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4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3" fontId="96" fillId="36" borderId="0">
      <alignment horizontal="left"/>
    </xf>
    <xf numFmtId="0" fontId="48" fillId="0" borderId="0">
      <alignment vertical="top"/>
    </xf>
    <xf numFmtId="0" fontId="97" fillId="0" borderId="0"/>
    <xf numFmtId="0" fontId="97" fillId="0" borderId="0"/>
    <xf numFmtId="0" fontId="97" fillId="0" borderId="0"/>
    <xf numFmtId="0" fontId="97" fillId="0" borderId="0"/>
    <xf numFmtId="38" fontId="98" fillId="0" borderId="0" applyFill="0" applyBorder="0" applyAlignment="0" applyProtection="0"/>
    <xf numFmtId="0" fontId="32" fillId="0" borderId="0" applyFill="0" applyBorder="0" applyAlignment="0" applyProtection="0"/>
    <xf numFmtId="49" fontId="41" fillId="0" borderId="0" applyFill="0" applyBorder="0" applyAlignment="0"/>
    <xf numFmtId="0" fontId="42" fillId="0" borderId="0" applyFill="0" applyBorder="0" applyAlignment="0"/>
    <xf numFmtId="0" fontId="4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" fontId="100" fillId="0" borderId="0" applyFont="0" applyFill="0" applyBorder="0" applyAlignment="0" applyProtection="0">
      <alignment horizontal="left"/>
    </xf>
    <xf numFmtId="0" fontId="101" fillId="0" borderId="0" applyNumberFormat="0" applyFill="0" applyBorder="0" applyAlignment="0" applyProtection="0"/>
    <xf numFmtId="3" fontId="102" fillId="36" borderId="0">
      <alignment horizontal="center"/>
    </xf>
    <xf numFmtId="0" fontId="101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3" fontId="106" fillId="36" borderId="0">
      <alignment horizontal="left"/>
    </xf>
    <xf numFmtId="187" fontId="32" fillId="0" borderId="27">
      <protection locked="0"/>
    </xf>
    <xf numFmtId="3" fontId="51" fillId="37" borderId="0">
      <alignment horizontal="right"/>
    </xf>
    <xf numFmtId="10" fontId="107" fillId="0" borderId="28" applyNumberFormat="0" applyFont="0" applyFill="0" applyAlignment="0" applyProtection="0"/>
    <xf numFmtId="37" fontId="79" fillId="29" borderId="0" applyNumberFormat="0" applyBorder="0" applyAlignment="0" applyProtection="0"/>
    <xf numFmtId="37" fontId="44" fillId="0" borderId="0"/>
    <xf numFmtId="3" fontId="108" fillId="0" borderId="19" applyProtection="0"/>
    <xf numFmtId="193" fontId="63" fillId="0" borderId="0">
      <protection locked="0"/>
    </xf>
    <xf numFmtId="194" fontId="63" fillId="0" borderId="0">
      <protection locked="0"/>
    </xf>
    <xf numFmtId="0" fontId="99" fillId="0" borderId="0" applyNumberFormat="0" applyFill="0" applyBorder="0" applyAlignment="0" applyProtection="0"/>
    <xf numFmtId="0" fontId="32" fillId="0" borderId="17" applyFont="0" applyFill="0" applyBorder="0" applyAlignment="0" applyProtection="0"/>
    <xf numFmtId="167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0" fontId="37" fillId="0" borderId="0">
      <alignment vertical="top"/>
    </xf>
    <xf numFmtId="0" fontId="32" fillId="0" borderId="0"/>
    <xf numFmtId="9" fontId="32" fillId="0" borderId="0" applyFont="0" applyFill="0" applyBorder="0" applyAlignment="0" applyProtection="0"/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5" fillId="0" borderId="30" applyBorder="0"/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0" fontId="32" fillId="0" borderId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31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80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84" fillId="0" borderId="0" applyNumberFormat="0" applyFill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31" applyNumberFormat="0" applyAlignment="0" applyProtection="0"/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0" fontId="32" fillId="23" borderId="33" applyNumberFormat="0" applyFon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3" fontId="87" fillId="2" borderId="30">
      <alignment horizontal="center"/>
    </xf>
    <xf numFmtId="0" fontId="88" fillId="31" borderId="0" applyNumberFormat="0" applyBorder="0" applyAlignment="0" applyProtection="0"/>
    <xf numFmtId="203" fontId="32" fillId="0" borderId="0"/>
    <xf numFmtId="203" fontId="32" fillId="0" borderId="0"/>
    <xf numFmtId="203" fontId="32" fillId="0" borderId="0"/>
    <xf numFmtId="203" fontId="32" fillId="0" borderId="0"/>
    <xf numFmtId="190" fontId="118" fillId="0" borderId="0"/>
    <xf numFmtId="191" fontId="118" fillId="0" borderId="0"/>
    <xf numFmtId="0" fontId="72" fillId="0" borderId="0"/>
    <xf numFmtId="0" fontId="37" fillId="0" borderId="0"/>
    <xf numFmtId="0" fontId="32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9" fillId="0" borderId="0"/>
    <xf numFmtId="0" fontId="119" fillId="0" borderId="0"/>
    <xf numFmtId="0" fontId="119" fillId="0" borderId="0"/>
    <xf numFmtId="0" fontId="119" fillId="0" borderId="0"/>
    <xf numFmtId="0" fontId="32" fillId="0" borderId="0"/>
    <xf numFmtId="0" fontId="32" fillId="0" borderId="0"/>
    <xf numFmtId="184" fontId="72" fillId="0" borderId="0"/>
    <xf numFmtId="184" fontId="7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70" fontId="32" fillId="0" borderId="0"/>
    <xf numFmtId="0" fontId="120" fillId="0" borderId="0"/>
    <xf numFmtId="0" fontId="32" fillId="0" borderId="0"/>
    <xf numFmtId="0" fontId="29" fillId="0" borderId="0"/>
    <xf numFmtId="17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50" fillId="0" borderId="0"/>
    <xf numFmtId="0" fontId="50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0" borderId="23" applyFont="0" applyFill="0" applyBorder="0" applyAlignment="0" applyProtection="0">
      <alignment horizontal="right"/>
    </xf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21" fillId="0" borderId="0" applyNumberFormat="0" applyFill="0" applyBorder="0" applyAlignment="0" applyProtection="0"/>
    <xf numFmtId="0" fontId="92" fillId="26" borderId="37" applyNumberFormat="0" applyAlignment="0" applyProtection="0"/>
    <xf numFmtId="0" fontId="92" fillId="26" borderId="37" applyNumberFormat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72" fillId="0" borderId="0" applyFont="0" applyFill="0" applyBorder="0" applyAlignment="0" applyProtection="0"/>
    <xf numFmtId="0" fontId="122" fillId="0" borderId="38" applyProtection="0">
      <alignment horizontal="centerContinuous"/>
    </xf>
    <xf numFmtId="0" fontId="45" fillId="0" borderId="0"/>
    <xf numFmtId="0" fontId="45" fillId="0" borderId="0"/>
    <xf numFmtId="0" fontId="45" fillId="0" borderId="0"/>
    <xf numFmtId="0" fontId="45" fillId="0" borderId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39" applyNumberFormat="0" applyFill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53" fillId="0" borderId="0"/>
    <xf numFmtId="0" fontId="53" fillId="0" borderId="0"/>
    <xf numFmtId="0" fontId="28" fillId="0" borderId="0"/>
    <xf numFmtId="168" fontId="43" fillId="0" borderId="0" applyFont="0" applyFill="0" applyBorder="0" applyAlignment="0" applyProtection="0"/>
    <xf numFmtId="0" fontId="43" fillId="0" borderId="0"/>
    <xf numFmtId="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206" fontId="126" fillId="0" borderId="0" applyFill="0" applyBorder="0" applyProtection="0">
      <alignment horizontal="right"/>
      <protection locked="0"/>
    </xf>
    <xf numFmtId="207" fontId="126" fillId="0" borderId="0" applyFill="0" applyBorder="0" applyProtection="0">
      <alignment horizontal="right"/>
      <protection locked="0"/>
    </xf>
    <xf numFmtId="208" fontId="126" fillId="0" borderId="0" applyFill="0" applyBorder="0" applyProtection="0">
      <alignment horizontal="right"/>
      <protection locked="0"/>
    </xf>
    <xf numFmtId="207" fontId="126" fillId="0" borderId="0" applyFont="0" applyFill="0" applyBorder="0" applyAlignment="0"/>
    <xf numFmtId="208" fontId="126" fillId="0" borderId="0" applyFont="0" applyFill="0" applyBorder="0" applyAlignment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209" fontId="118" fillId="0" borderId="0" applyFill="0" applyBorder="0" applyProtection="0">
      <alignment horizontal="right"/>
      <protection locked="0"/>
    </xf>
    <xf numFmtId="210" fontId="126" fillId="0" borderId="41" applyFont="0" applyFill="0" applyBorder="0" applyAlignment="0"/>
    <xf numFmtId="211" fontId="126" fillId="0" borderId="0" applyFill="0" applyBorder="0" applyProtection="0">
      <alignment horizontal="right"/>
      <protection locked="0"/>
    </xf>
    <xf numFmtId="212" fontId="118" fillId="0" borderId="0" applyFill="0" applyBorder="0" applyProtection="0">
      <alignment horizontal="right"/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32" fillId="0" borderId="0"/>
    <xf numFmtId="168" fontId="32" fillId="0" borderId="0" applyFont="0" applyFill="0" applyBorder="0" applyAlignment="0" applyProtection="0">
      <alignment wrapText="1"/>
    </xf>
    <xf numFmtId="17" fontId="69" fillId="0" borderId="0" applyFill="0" applyBorder="0">
      <alignment horizontal="right"/>
    </xf>
    <xf numFmtId="169" fontId="73" fillId="0" borderId="0">
      <protection locked="0"/>
    </xf>
    <xf numFmtId="0" fontId="127" fillId="47" borderId="0" applyNumberFormat="0" applyBorder="0" applyProtection="0">
      <alignment horizontal="center"/>
      <protection locked="0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28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3" fontId="129" fillId="0" borderId="42" applyFill="0" applyBorder="0" applyAlignment="0">
      <alignment horizontal="center"/>
    </xf>
    <xf numFmtId="167" fontId="27" fillId="0" borderId="0" applyFont="0" applyFill="0" applyBorder="0" applyAlignment="0" applyProtection="0"/>
    <xf numFmtId="0" fontId="46" fillId="0" borderId="0"/>
    <xf numFmtId="0" fontId="32" fillId="0" borderId="0"/>
    <xf numFmtId="0" fontId="32" fillId="0" borderId="0"/>
    <xf numFmtId="0" fontId="32" fillId="0" borderId="0">
      <alignment vertical="top"/>
    </xf>
    <xf numFmtId="0" fontId="32" fillId="0" borderId="0"/>
    <xf numFmtId="0" fontId="32" fillId="0" borderId="0"/>
    <xf numFmtId="0" fontId="32" fillId="0" borderId="0"/>
    <xf numFmtId="0" fontId="27" fillId="0" borderId="0">
      <alignment vertical="center"/>
    </xf>
    <xf numFmtId="213" fontId="69" fillId="0" borderId="0" applyNumberFormat="0" applyFill="0" applyBorder="0" applyAlignment="0" applyProtection="0"/>
    <xf numFmtId="9" fontId="43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0" fillId="40" borderId="43">
      <alignment horizontal="left"/>
    </xf>
    <xf numFmtId="4" fontId="51" fillId="0" borderId="44" applyNumberFormat="0" applyProtection="0">
      <alignment vertical="center"/>
    </xf>
    <xf numFmtId="4" fontId="131" fillId="29" borderId="44" applyNumberFormat="0" applyProtection="0">
      <alignment vertical="center"/>
    </xf>
    <xf numFmtId="4" fontId="51" fillId="0" borderId="44" applyNumberFormat="0" applyProtection="0">
      <alignment horizontal="left" vertical="center" indent="1"/>
    </xf>
    <xf numFmtId="0" fontId="51" fillId="0" borderId="44" applyNumberFormat="0" applyProtection="0">
      <alignment horizontal="left" vertical="top" indent="1"/>
    </xf>
    <xf numFmtId="4" fontId="51" fillId="0" borderId="0" applyNumberFormat="0" applyProtection="0">
      <alignment horizontal="left" vertical="center" indent="1"/>
    </xf>
    <xf numFmtId="4" fontId="37" fillId="4" borderId="44" applyNumberFormat="0" applyProtection="0">
      <alignment horizontal="right" vertical="center"/>
    </xf>
    <xf numFmtId="4" fontId="37" fillId="11" borderId="44" applyNumberFormat="0" applyProtection="0">
      <alignment horizontal="right" vertical="center"/>
    </xf>
    <xf numFmtId="4" fontId="37" fillId="19" borderId="44" applyNumberFormat="0" applyProtection="0">
      <alignment horizontal="right" vertical="center"/>
    </xf>
    <xf numFmtId="4" fontId="37" fillId="13" borderId="44" applyNumberFormat="0" applyProtection="0">
      <alignment horizontal="right" vertical="center"/>
    </xf>
    <xf numFmtId="4" fontId="37" fillId="17" borderId="44" applyNumberFormat="0" applyProtection="0">
      <alignment horizontal="right" vertical="center"/>
    </xf>
    <xf numFmtId="4" fontId="37" fillId="21" borderId="44" applyNumberFormat="0" applyProtection="0">
      <alignment horizontal="right" vertical="center"/>
    </xf>
    <xf numFmtId="4" fontId="37" fillId="20" borderId="44" applyNumberFormat="0" applyProtection="0">
      <alignment horizontal="right" vertical="center"/>
    </xf>
    <xf numFmtId="4" fontId="37" fillId="48" borderId="44" applyNumberFormat="0" applyProtection="0">
      <alignment horizontal="right" vertical="center"/>
    </xf>
    <xf numFmtId="4" fontId="37" fillId="12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49" borderId="0" applyNumberFormat="0" applyProtection="0">
      <alignment horizontal="left" vertical="center" indent="1"/>
    </xf>
    <xf numFmtId="4" fontId="37" fillId="50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0" borderId="41" applyNumberFormat="0" applyProtection="0">
      <alignment horizontal="left" vertical="center" indent="1"/>
    </xf>
    <xf numFmtId="0" fontId="32" fillId="49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51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22" borderId="44" applyNumberFormat="0" applyProtection="0">
      <alignment horizontal="left" vertical="top" indent="1"/>
    </xf>
    <xf numFmtId="0" fontId="32" fillId="52" borderId="44" applyNumberFormat="0" applyProtection="0">
      <alignment horizontal="left" vertical="center" indent="1"/>
    </xf>
    <xf numFmtId="0" fontId="32" fillId="52" borderId="44" applyNumberFormat="0" applyProtection="0">
      <alignment horizontal="left" vertical="top" indent="1"/>
    </xf>
    <xf numFmtId="4" fontId="37" fillId="23" borderId="44" applyNumberFormat="0" applyProtection="0">
      <alignment vertical="center"/>
    </xf>
    <xf numFmtId="4" fontId="133" fillId="23" borderId="44" applyNumberFormat="0" applyProtection="0">
      <alignment vertical="center"/>
    </xf>
    <xf numFmtId="4" fontId="37" fillId="23" borderId="44" applyNumberFormat="0" applyProtection="0">
      <alignment horizontal="left" vertical="center" indent="1"/>
    </xf>
    <xf numFmtId="0" fontId="37" fillId="23" borderId="44" applyNumberFormat="0" applyProtection="0">
      <alignment horizontal="left" vertical="top" indent="1"/>
    </xf>
    <xf numFmtId="4" fontId="37" fillId="0" borderId="41" applyNumberFormat="0" applyProtection="0">
      <alignment horizontal="right" vertical="center"/>
    </xf>
    <xf numFmtId="4" fontId="133" fillId="0" borderId="44" applyNumberFormat="0" applyProtection="0">
      <alignment horizontal="right" vertical="center"/>
    </xf>
    <xf numFmtId="4" fontId="37" fillId="0" borderId="45" applyNumberFormat="0" applyProtection="0">
      <alignment horizontal="left" vertical="center" indent="1"/>
    </xf>
    <xf numFmtId="0" fontId="51" fillId="0" borderId="41" applyNumberFormat="0" applyProtection="0">
      <alignment horizontal="left" vertical="top" indent="1"/>
    </xf>
    <xf numFmtId="4" fontId="122" fillId="0" borderId="0" applyNumberFormat="0" applyProtection="0">
      <alignment horizontal="left" vertical="center" indent="1"/>
    </xf>
    <xf numFmtId="4" fontId="32" fillId="0" borderId="44" applyNumberFormat="0" applyProtection="0">
      <alignment horizontal="right" vertical="center"/>
    </xf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213" fontId="44" fillId="53" borderId="0" applyNumberFormat="0" applyFont="0" applyBorder="0" applyAlignment="0">
      <protection hidden="1"/>
    </xf>
    <xf numFmtId="0" fontId="134" fillId="0" borderId="0" applyFill="0" applyBorder="0" applyAlignment="0" applyProtection="0">
      <protection locked="0"/>
    </xf>
    <xf numFmtId="0" fontId="135" fillId="0" borderId="0" applyBorder="0" applyAlignment="0" applyProtection="0">
      <protection locked="0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26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6" fillId="0" borderId="0">
      <alignment vertical="center"/>
    </xf>
    <xf numFmtId="168" fontId="30" fillId="0" borderId="0" applyFont="0" applyFill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46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46" applyNumberFormat="0" applyAlignment="0" applyProtection="0"/>
    <xf numFmtId="0" fontId="74" fillId="8" borderId="46" applyNumberFormat="0" applyAlignment="0" applyProtection="0"/>
    <xf numFmtId="0" fontId="58" fillId="4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7" fontId="26" fillId="0" borderId="0" applyFont="0" applyFill="0" applyBorder="0" applyAlignment="0" applyProtection="0"/>
    <xf numFmtId="0" fontId="88" fillId="31" borderId="0" applyNumberFormat="0" applyBorder="0" applyAlignment="0" applyProtection="0"/>
    <xf numFmtId="190" fontId="118" fillId="0" borderId="0"/>
    <xf numFmtId="190" fontId="118" fillId="0" borderId="0"/>
    <xf numFmtId="191" fontId="118" fillId="0" borderId="0"/>
    <xf numFmtId="191" fontId="118" fillId="0" borderId="0"/>
    <xf numFmtId="0" fontId="32" fillId="0" borderId="0">
      <alignment vertical="top"/>
    </xf>
    <xf numFmtId="0" fontId="32" fillId="0" borderId="0">
      <alignment vertical="top"/>
    </xf>
    <xf numFmtId="0" fontId="30" fillId="0" borderId="0"/>
    <xf numFmtId="0" fontId="50" fillId="32" borderId="47" applyNumberFormat="0" applyFon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92" fillId="26" borderId="48" applyNumberFormat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49" applyNumberFormat="0" applyFill="0" applyAlignment="0" applyProtection="0"/>
    <xf numFmtId="0" fontId="123" fillId="0" borderId="49" applyNumberFormat="0" applyFill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2" fillId="0" borderId="0" applyFont="0" applyFill="0" applyBorder="0" applyAlignment="0" applyProtection="0"/>
    <xf numFmtId="167" fontId="37" fillId="0" borderId="0" applyFont="0" applyFill="0" applyBorder="0" applyAlignment="0" applyProtection="0"/>
    <xf numFmtId="0" fontId="32" fillId="0" borderId="0"/>
    <xf numFmtId="0" fontId="37" fillId="0" borderId="0">
      <alignment vertical="top"/>
    </xf>
    <xf numFmtId="0" fontId="140" fillId="0" borderId="0" applyNumberFormat="0" applyFill="0" applyBorder="0" applyAlignment="0" applyProtection="0"/>
    <xf numFmtId="0" fontId="74" fillId="8" borderId="31" applyNumberFormat="0" applyAlignment="0" applyProtection="0"/>
    <xf numFmtId="0" fontId="66" fillId="26" borderId="31" applyNumberFormat="0" applyAlignment="0" applyProtection="0"/>
    <xf numFmtId="0" fontId="67" fillId="27" borderId="32" applyNumberFormat="0" applyAlignment="0" applyProtection="0"/>
    <xf numFmtId="218" fontId="44" fillId="0" borderId="0" applyFont="0" applyFill="0" applyBorder="0" applyAlignment="0" applyProtection="0"/>
    <xf numFmtId="0" fontId="141" fillId="0" borderId="0" applyNumberFormat="0" applyFill="0" applyBorder="0" applyAlignment="0" applyProtection="0">
      <alignment vertical="top"/>
      <protection locked="0"/>
    </xf>
    <xf numFmtId="0" fontId="74" fillId="8" borderId="31" applyNumberFormat="0" applyAlignment="0" applyProtection="0"/>
    <xf numFmtId="0" fontId="142" fillId="32" borderId="35" applyNumberFormat="0" applyFont="0" applyAlignment="0" applyProtection="0"/>
    <xf numFmtId="0" fontId="92" fillId="26" borderId="48" applyNumberFormat="0" applyAlignment="0" applyProtection="0"/>
    <xf numFmtId="0" fontId="25" fillId="0" borderId="0"/>
    <xf numFmtId="0" fontId="74" fillId="8" borderId="31" applyNumberFormat="0" applyAlignment="0" applyProtection="0"/>
    <xf numFmtId="0" fontId="74" fillId="8" borderId="31" applyNumberFormat="0" applyAlignment="0" applyProtection="0"/>
    <xf numFmtId="0" fontId="25" fillId="0" borderId="0"/>
    <xf numFmtId="0" fontId="25" fillId="0" borderId="0"/>
    <xf numFmtId="0" fontId="30" fillId="0" borderId="0"/>
    <xf numFmtId="0" fontId="55" fillId="0" borderId="55" applyBorder="0"/>
    <xf numFmtId="0" fontId="66" fillId="26" borderId="46" applyNumberFormat="0" applyAlignment="0" applyProtection="0"/>
    <xf numFmtId="40" fontId="65" fillId="23" borderId="56">
      <alignment vertical="center"/>
    </xf>
    <xf numFmtId="0" fontId="81" fillId="0" borderId="52">
      <alignment horizontal="left" vertical="center"/>
    </xf>
    <xf numFmtId="10" fontId="44" fillId="23" borderId="56" applyNumberFormat="0" applyBorder="0" applyAlignment="0" applyProtection="0"/>
    <xf numFmtId="3" fontId="87" fillId="2" borderId="55">
      <alignment horizontal="center"/>
    </xf>
    <xf numFmtId="0" fontId="32" fillId="32" borderId="35" applyNumberFormat="0" applyFont="0" applyAlignment="0" applyProtection="0"/>
    <xf numFmtId="0" fontId="32" fillId="0" borderId="54" applyFont="0" applyFill="0" applyBorder="0" applyAlignment="0" applyProtection="0">
      <alignment horizontal="right"/>
    </xf>
    <xf numFmtId="9" fontId="32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187" fontId="32" fillId="0" borderId="51">
      <protection locked="0"/>
    </xf>
    <xf numFmtId="0" fontId="32" fillId="0" borderId="52" applyFont="0" applyFill="0" applyBorder="0" applyAlignment="0" applyProtection="0"/>
    <xf numFmtId="0" fontId="55" fillId="0" borderId="55" applyBorder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3" fontId="87" fillId="2" borderId="55">
      <alignment horizontal="center"/>
    </xf>
    <xf numFmtId="0" fontId="24" fillId="0" borderId="0"/>
    <xf numFmtId="0" fontId="24" fillId="0" borderId="0"/>
    <xf numFmtId="0" fontId="32" fillId="0" borderId="54" applyFont="0" applyFill="0" applyBorder="0" applyAlignment="0" applyProtection="0">
      <alignment horizontal="right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0" fontId="92" fillId="26" borderId="48" applyNumberFormat="0" applyAlignment="0" applyProtection="0"/>
    <xf numFmtId="0" fontId="92" fillId="26" borderId="4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2" fillId="0" borderId="50" applyProtection="0">
      <alignment horizontal="centerContinuous"/>
    </xf>
    <xf numFmtId="0" fontId="123" fillId="0" borderId="49" applyNumberFormat="0" applyFill="0" applyAlignment="0" applyProtection="0"/>
    <xf numFmtId="0" fontId="24" fillId="0" borderId="0"/>
    <xf numFmtId="210" fontId="126" fillId="0" borderId="56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4" fontId="37" fillId="0" borderId="56" applyNumberFormat="0" applyProtection="0">
      <alignment horizontal="right" vertical="center"/>
    </xf>
    <xf numFmtId="4" fontId="37" fillId="0" borderId="58" applyNumberFormat="0" applyProtection="0">
      <alignment horizontal="left" vertical="center" indent="1"/>
    </xf>
    <xf numFmtId="0" fontId="51" fillId="0" borderId="56" applyNumberFormat="0" applyProtection="0">
      <alignment horizontal="left" vertical="top" indent="1"/>
    </xf>
    <xf numFmtId="0" fontId="24" fillId="0" borderId="0"/>
    <xf numFmtId="0" fontId="67" fillId="27" borderId="57" applyNumberFormat="0" applyAlignment="0" applyProtection="0"/>
    <xf numFmtId="167" fontId="24" fillId="0" borderId="0" applyFont="0" applyFill="0" applyBorder="0" applyAlignment="0" applyProtection="0"/>
    <xf numFmtId="0" fontId="50" fillId="32" borderId="35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4" fillId="8" borderId="46" applyNumberFormat="0" applyAlignment="0" applyProtection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0" fontId="24" fillId="0" borderId="0"/>
    <xf numFmtId="0" fontId="74" fillId="8" borderId="46" applyNumberFormat="0" applyAlignment="0" applyProtection="0"/>
    <xf numFmtId="0" fontId="74" fillId="8" borderId="46" applyNumberFormat="0" applyAlignment="0" applyProtection="0"/>
    <xf numFmtId="0" fontId="24" fillId="0" borderId="0"/>
    <xf numFmtId="0" fontId="24" fillId="0" borderId="0"/>
    <xf numFmtId="0" fontId="30" fillId="0" borderId="0"/>
    <xf numFmtId="9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0" fillId="0" borderId="0"/>
    <xf numFmtId="0" fontId="30" fillId="0" borderId="0"/>
    <xf numFmtId="4" fontId="32" fillId="0" borderId="72" applyNumberFormat="0" applyProtection="0">
      <alignment horizontal="right" vertical="center"/>
    </xf>
    <xf numFmtId="4" fontId="133" fillId="0" borderId="72" applyNumberFormat="0" applyProtection="0">
      <alignment horizontal="right" vertical="center"/>
    </xf>
    <xf numFmtId="4" fontId="37" fillId="23" borderId="72" applyNumberFormat="0" applyProtection="0">
      <alignment horizontal="left" vertical="center" indent="1"/>
    </xf>
    <xf numFmtId="4" fontId="37" fillId="23" borderId="72" applyNumberFormat="0" applyProtection="0">
      <alignment vertical="center"/>
    </xf>
    <xf numFmtId="0" fontId="32" fillId="52" borderId="72" applyNumberFormat="0" applyProtection="0">
      <alignment horizontal="left" vertical="top" indent="1"/>
    </xf>
    <xf numFmtId="0" fontId="32" fillId="49" borderId="72" applyNumberFormat="0" applyProtection="0">
      <alignment horizontal="left" vertical="top" indent="1"/>
    </xf>
    <xf numFmtId="4" fontId="37" fillId="12" borderId="72" applyNumberFormat="0" applyProtection="0">
      <alignment horizontal="right" vertical="center"/>
    </xf>
    <xf numFmtId="4" fontId="37" fillId="20" borderId="72" applyNumberFormat="0" applyProtection="0">
      <alignment horizontal="right" vertical="center"/>
    </xf>
    <xf numFmtId="4" fontId="37" fillId="17" borderId="72" applyNumberFormat="0" applyProtection="0">
      <alignment horizontal="right" vertical="center"/>
    </xf>
    <xf numFmtId="4" fontId="37" fillId="13" borderId="72" applyNumberFormat="0" applyProtection="0">
      <alignment horizontal="right" vertical="center"/>
    </xf>
    <xf numFmtId="0" fontId="51" fillId="0" borderId="72" applyNumberFormat="0" applyProtection="0">
      <alignment horizontal="left" vertical="top" indent="1"/>
    </xf>
    <xf numFmtId="4" fontId="51" fillId="0" borderId="72" applyNumberFormat="0" applyProtection="0">
      <alignment horizontal="left" vertical="center" indent="1"/>
    </xf>
    <xf numFmtId="4" fontId="51" fillId="0" borderId="72" applyNumberFormat="0" applyProtection="0">
      <alignment vertical="center"/>
    </xf>
    <xf numFmtId="0" fontId="66" fillId="26" borderId="65" applyNumberFormat="0" applyAlignment="0" applyProtection="0"/>
    <xf numFmtId="0" fontId="66" fillId="26" borderId="65" applyNumberFormat="0" applyAlignment="0" applyProtection="0"/>
    <xf numFmtId="40" fontId="65" fillId="23" borderId="62">
      <alignment vertical="center"/>
    </xf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0" fontId="81" fillId="0" borderId="59">
      <alignment horizontal="left" vertical="center"/>
    </xf>
    <xf numFmtId="10" fontId="44" fillId="23" borderId="62" applyNumberFormat="0" applyBorder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0" fontId="30" fillId="0" borderId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50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4" fontId="37" fillId="0" borderId="73" applyNumberFormat="0" applyProtection="0">
      <alignment horizontal="left" vertical="center" indent="1"/>
    </xf>
    <xf numFmtId="4" fontId="133" fillId="23" borderId="72" applyNumberFormat="0" applyProtection="0">
      <alignment vertical="center"/>
    </xf>
    <xf numFmtId="4" fontId="37" fillId="50" borderId="72" applyNumberFormat="0" applyProtection="0">
      <alignment horizontal="right" vertical="center"/>
    </xf>
    <xf numFmtId="4" fontId="37" fillId="21" borderId="72" applyNumberFormat="0" applyProtection="0">
      <alignment horizontal="right" vertical="center"/>
    </xf>
    <xf numFmtId="4" fontId="131" fillId="29" borderId="72" applyNumberFormat="0" applyProtection="0">
      <alignment vertical="center"/>
    </xf>
    <xf numFmtId="0" fontId="23" fillId="0" borderId="0"/>
    <xf numFmtId="0" fontId="37" fillId="23" borderId="72" applyNumberFormat="0" applyProtection="0">
      <alignment horizontal="left" vertical="top" indent="1"/>
    </xf>
    <xf numFmtId="0" fontId="32" fillId="52" borderId="72" applyNumberFormat="0" applyProtection="0">
      <alignment horizontal="left" vertical="center" indent="1"/>
    </xf>
    <xf numFmtId="0" fontId="32" fillId="22" borderId="72" applyNumberFormat="0" applyProtection="0">
      <alignment horizontal="left" vertical="top" indent="1"/>
    </xf>
    <xf numFmtId="0" fontId="32" fillId="51" borderId="72" applyNumberFormat="0" applyProtection="0">
      <alignment horizontal="left" vertical="top" indent="1"/>
    </xf>
    <xf numFmtId="4" fontId="37" fillId="48" borderId="72" applyNumberFormat="0" applyProtection="0">
      <alignment horizontal="right" vertical="center"/>
    </xf>
    <xf numFmtId="4" fontId="37" fillId="19" borderId="72" applyNumberFormat="0" applyProtection="0">
      <alignment horizontal="right" vertical="center"/>
    </xf>
    <xf numFmtId="4" fontId="37" fillId="11" borderId="72" applyNumberFormat="0" applyProtection="0">
      <alignment horizontal="right" vertical="center"/>
    </xf>
    <xf numFmtId="4" fontId="37" fillId="4" borderId="72" applyNumberFormat="0" applyProtection="0">
      <alignment horizontal="right" vertical="center"/>
    </xf>
    <xf numFmtId="210" fontId="126" fillId="0" borderId="62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51" fillId="0" borderId="70" applyNumberFormat="0" applyProtection="0">
      <alignment vertical="center"/>
    </xf>
    <xf numFmtId="4" fontId="131" fillId="29" borderId="70" applyNumberFormat="0" applyProtection="0">
      <alignment vertical="center"/>
    </xf>
    <xf numFmtId="4" fontId="51" fillId="0" borderId="70" applyNumberFormat="0" applyProtection="0">
      <alignment horizontal="left" vertical="center" indent="1"/>
    </xf>
    <xf numFmtId="0" fontId="51" fillId="0" borderId="70" applyNumberFormat="0" applyProtection="0">
      <alignment horizontal="left" vertical="top" indent="1"/>
    </xf>
    <xf numFmtId="4" fontId="37" fillId="4" borderId="70" applyNumberFormat="0" applyProtection="0">
      <alignment horizontal="right" vertical="center"/>
    </xf>
    <xf numFmtId="4" fontId="37" fillId="11" borderId="70" applyNumberFormat="0" applyProtection="0">
      <alignment horizontal="right" vertical="center"/>
    </xf>
    <xf numFmtId="4" fontId="37" fillId="19" borderId="70" applyNumberFormat="0" applyProtection="0">
      <alignment horizontal="right" vertical="center"/>
    </xf>
    <xf numFmtId="4" fontId="37" fillId="13" borderId="70" applyNumberFormat="0" applyProtection="0">
      <alignment horizontal="right" vertical="center"/>
    </xf>
    <xf numFmtId="4" fontId="37" fillId="17" borderId="70" applyNumberFormat="0" applyProtection="0">
      <alignment horizontal="right" vertical="center"/>
    </xf>
    <xf numFmtId="4" fontId="37" fillId="21" borderId="70" applyNumberFormat="0" applyProtection="0">
      <alignment horizontal="right" vertical="center"/>
    </xf>
    <xf numFmtId="4" fontId="37" fillId="20" borderId="70" applyNumberFormat="0" applyProtection="0">
      <alignment horizontal="right" vertical="center"/>
    </xf>
    <xf numFmtId="4" fontId="37" fillId="48" borderId="70" applyNumberFormat="0" applyProtection="0">
      <alignment horizontal="right" vertical="center"/>
    </xf>
    <xf numFmtId="4" fontId="37" fillId="12" borderId="70" applyNumberFormat="0" applyProtection="0">
      <alignment horizontal="right" vertical="center"/>
    </xf>
    <xf numFmtId="4" fontId="37" fillId="50" borderId="70" applyNumberFormat="0" applyProtection="0">
      <alignment horizontal="right" vertical="center"/>
    </xf>
    <xf numFmtId="0" fontId="32" fillId="0" borderId="62" applyNumberFormat="0" applyProtection="0">
      <alignment horizontal="left" vertical="center" indent="1"/>
    </xf>
    <xf numFmtId="0" fontId="32" fillId="49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51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22" borderId="70" applyNumberFormat="0" applyProtection="0">
      <alignment horizontal="left" vertical="top" indent="1"/>
    </xf>
    <xf numFmtId="0" fontId="32" fillId="52" borderId="70" applyNumberFormat="0" applyProtection="0">
      <alignment horizontal="left" vertical="center" indent="1"/>
    </xf>
    <xf numFmtId="0" fontId="32" fillId="52" borderId="70" applyNumberFormat="0" applyProtection="0">
      <alignment horizontal="left" vertical="top" indent="1"/>
    </xf>
    <xf numFmtId="4" fontId="37" fillId="23" borderId="70" applyNumberFormat="0" applyProtection="0">
      <alignment vertical="center"/>
    </xf>
    <xf numFmtId="4" fontId="133" fillId="23" borderId="70" applyNumberFormat="0" applyProtection="0">
      <alignment vertical="center"/>
    </xf>
    <xf numFmtId="4" fontId="37" fillId="23" borderId="70" applyNumberFormat="0" applyProtection="0">
      <alignment horizontal="left" vertical="center" indent="1"/>
    </xf>
    <xf numFmtId="0" fontId="37" fillId="23" borderId="70" applyNumberFormat="0" applyProtection="0">
      <alignment horizontal="left" vertical="top" indent="1"/>
    </xf>
    <xf numFmtId="4" fontId="37" fillId="0" borderId="62" applyNumberFormat="0" applyProtection="0">
      <alignment horizontal="right" vertical="center"/>
    </xf>
    <xf numFmtId="4" fontId="133" fillId="0" borderId="70" applyNumberFormat="0" applyProtection="0">
      <alignment horizontal="right" vertical="center"/>
    </xf>
    <xf numFmtId="4" fontId="37" fillId="0" borderId="71" applyNumberFormat="0" applyProtection="0">
      <alignment horizontal="left" vertical="center" indent="1"/>
    </xf>
    <xf numFmtId="0" fontId="51" fillId="0" borderId="62" applyNumberFormat="0" applyProtection="0">
      <alignment horizontal="left" vertical="top" indent="1"/>
    </xf>
    <xf numFmtId="4" fontId="32" fillId="0" borderId="70" applyNumberFormat="0" applyProtection="0">
      <alignment horizontal="right" vertical="center"/>
    </xf>
    <xf numFmtId="0" fontId="23" fillId="0" borderId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92" fillId="26" borderId="68" applyNumberFormat="0" applyAlignment="0" applyProtection="0"/>
    <xf numFmtId="0" fontId="123" fillId="0" borderId="69" applyNumberFormat="0" applyFill="0" applyAlignment="0" applyProtection="0"/>
    <xf numFmtId="0" fontId="123" fillId="0" borderId="69" applyNumberFormat="0" applyFill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142" fillId="32" borderId="67" applyNumberFormat="0" applyFont="0" applyAlignment="0" applyProtection="0"/>
    <xf numFmtId="0" fontId="92" fillId="26" borderId="68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65" applyNumberFormat="0" applyAlignment="0" applyProtection="0"/>
    <xf numFmtId="0" fontId="81" fillId="0" borderId="59">
      <alignment horizontal="left" vertical="center"/>
    </xf>
    <xf numFmtId="0" fontId="32" fillId="32" borderId="67" applyNumberFormat="0" applyFont="0" applyAlignment="0" applyProtection="0"/>
    <xf numFmtId="0" fontId="33" fillId="22" borderId="36" applyNumberFormat="0" applyFont="0" applyBorder="0" applyAlignment="0" applyProtection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7" fillId="0" borderId="71" applyNumberFormat="0" applyProtection="0">
      <alignment horizontal="left" vertical="center" indent="1"/>
    </xf>
    <xf numFmtId="0" fontId="23" fillId="0" borderId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50" fillId="32" borderId="76" applyNumberFormat="0" applyFont="0" applyAlignment="0" applyProtection="0"/>
    <xf numFmtId="0" fontId="92" fillId="26" borderId="77" applyNumberFormat="0" applyAlignment="0" applyProtection="0"/>
    <xf numFmtId="0" fontId="123" fillId="0" borderId="78" applyNumberFormat="0" applyFill="0" applyAlignment="0" applyProtection="0"/>
    <xf numFmtId="0" fontId="123" fillId="0" borderId="78" applyNumberFormat="0" applyFill="0" applyAlignment="0" applyProtection="0"/>
    <xf numFmtId="0" fontId="92" fillId="26" borderId="77" applyNumberFormat="0" applyAlignment="0" applyProtection="0"/>
    <xf numFmtId="0" fontId="66" fillId="26" borderId="75" applyNumberFormat="0" applyAlignment="0" applyProtection="0"/>
    <xf numFmtId="40" fontId="65" fillId="23" borderId="74">
      <alignment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87" fontId="32" fillId="0" borderId="80">
      <protection locked="0"/>
    </xf>
    <xf numFmtId="0" fontId="32" fillId="0" borderId="81" applyFont="0" applyFill="0" applyBorder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92" fillId="26" borderId="77" applyNumberFormat="0" applyAlignment="0" applyProtection="0"/>
    <xf numFmtId="0" fontId="92" fillId="26" borderId="77" applyNumberFormat="0" applyAlignment="0" applyProtection="0"/>
    <xf numFmtId="0" fontId="122" fillId="0" borderId="79" applyProtection="0">
      <alignment horizontal="centerContinuous"/>
    </xf>
    <xf numFmtId="0" fontId="123" fillId="0" borderId="78" applyNumberFormat="0" applyFill="0" applyAlignment="0" applyProtection="0"/>
    <xf numFmtId="210" fontId="126" fillId="0" borderId="74" applyFont="0" applyFill="0" applyBorder="0" applyAlignment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4" fontId="37" fillId="0" borderId="73" applyNumberFormat="0" applyProtection="0">
      <alignment horizontal="left" vertical="center" indent="1"/>
    </xf>
    <xf numFmtId="0" fontId="51" fillId="0" borderId="74" applyNumberFormat="0" applyProtection="0">
      <alignment horizontal="left" vertical="top" indent="1"/>
    </xf>
    <xf numFmtId="0" fontId="67" fillId="27" borderId="82" applyNumberFormat="0" applyAlignment="0" applyProtection="0"/>
    <xf numFmtId="0" fontId="74" fillId="8" borderId="75" applyNumberFormat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30" fillId="0" borderId="0"/>
    <xf numFmtId="0" fontId="74" fillId="8" borderId="86" applyNumberFormat="0" applyAlignment="0" applyProtection="0"/>
    <xf numFmtId="0" fontId="66" fillId="26" borderId="86" applyNumberFormat="0" applyAlignment="0" applyProtection="0"/>
    <xf numFmtId="0" fontId="32" fillId="0" borderId="92" applyFont="0" applyFill="0" applyBorder="0" applyAlignment="0" applyProtection="0"/>
    <xf numFmtId="10" fontId="44" fillId="23" borderId="85" applyNumberFormat="0" applyBorder="0" applyAlignment="0" applyProtection="0"/>
    <xf numFmtId="0" fontId="81" fillId="0" borderId="92">
      <alignment horizontal="left" vertical="center"/>
    </xf>
    <xf numFmtId="0" fontId="51" fillId="0" borderId="94" applyNumberFormat="0" applyProtection="0">
      <alignment horizontal="left" vertical="top" indent="1"/>
    </xf>
    <xf numFmtId="0" fontId="123" fillId="0" borderId="89" applyNumberFormat="0" applyFill="0" applyAlignment="0" applyProtection="0"/>
    <xf numFmtId="0" fontId="123" fillId="0" borderId="89" applyNumberFormat="0" applyFill="0" applyAlignment="0" applyProtection="0"/>
    <xf numFmtId="0" fontId="92" fillId="26" borderId="88" applyNumberFormat="0" applyAlignment="0" applyProtection="0"/>
    <xf numFmtId="0" fontId="50" fillId="32" borderId="87" applyNumberFormat="0" applyFont="0" applyAlignment="0" applyProtection="0"/>
    <xf numFmtId="0" fontId="74" fillId="8" borderId="86" applyNumberFormat="0" applyAlignment="0" applyProtection="0"/>
    <xf numFmtId="0" fontId="92" fillId="26" borderId="98" applyNumberFormat="0" applyAlignment="0" applyProtection="0"/>
    <xf numFmtId="4" fontId="37" fillId="23" borderId="83" applyNumberFormat="0" applyProtection="0">
      <alignment horizontal="left" vertical="center" indent="1"/>
    </xf>
    <xf numFmtId="4" fontId="133" fillId="23" borderId="83" applyNumberFormat="0" applyProtection="0">
      <alignment vertical="center"/>
    </xf>
    <xf numFmtId="4" fontId="37" fillId="23" borderId="83" applyNumberFormat="0" applyProtection="0">
      <alignment vertical="center"/>
    </xf>
    <xf numFmtId="0" fontId="32" fillId="52" borderId="83" applyNumberFormat="0" applyProtection="0">
      <alignment horizontal="left" vertical="center" indent="1"/>
    </xf>
    <xf numFmtId="0" fontId="32" fillId="51" borderId="83" applyNumberFormat="0" applyProtection="0">
      <alignment horizontal="left" vertical="top" indent="1"/>
    </xf>
    <xf numFmtId="0" fontId="32" fillId="49" borderId="83" applyNumberFormat="0" applyProtection="0">
      <alignment horizontal="left" vertical="top" indent="1"/>
    </xf>
    <xf numFmtId="4" fontId="37" fillId="50" borderId="83" applyNumberFormat="0" applyProtection="0">
      <alignment horizontal="right" vertical="center"/>
    </xf>
    <xf numFmtId="4" fontId="37" fillId="12" borderId="83" applyNumberFormat="0" applyProtection="0">
      <alignment horizontal="right" vertical="center"/>
    </xf>
    <xf numFmtId="4" fontId="37" fillId="48" borderId="83" applyNumberFormat="0" applyProtection="0">
      <alignment horizontal="right" vertical="center"/>
    </xf>
    <xf numFmtId="4" fontId="37" fillId="21" borderId="83" applyNumberFormat="0" applyProtection="0">
      <alignment horizontal="right" vertical="center"/>
    </xf>
    <xf numFmtId="4" fontId="37" fillId="17" borderId="83" applyNumberFormat="0" applyProtection="0">
      <alignment horizontal="right" vertical="center"/>
    </xf>
    <xf numFmtId="4" fontId="37" fillId="13" borderId="83" applyNumberFormat="0" applyProtection="0">
      <alignment horizontal="right" vertical="center"/>
    </xf>
    <xf numFmtId="4" fontId="37" fillId="11" borderId="83" applyNumberFormat="0" applyProtection="0">
      <alignment horizontal="right" vertical="center"/>
    </xf>
    <xf numFmtId="4" fontId="37" fillId="4" borderId="83" applyNumberFormat="0" applyProtection="0">
      <alignment horizontal="right" vertical="center"/>
    </xf>
    <xf numFmtId="4" fontId="51" fillId="0" borderId="83" applyNumberFormat="0" applyProtection="0">
      <alignment horizontal="left" vertical="center" indent="1"/>
    </xf>
    <xf numFmtId="4" fontId="131" fillId="29" borderId="83" applyNumberFormat="0" applyProtection="0">
      <alignment vertical="center"/>
    </xf>
    <xf numFmtId="4" fontId="51" fillId="0" borderId="83" applyNumberFormat="0" applyProtection="0">
      <alignment vertical="center"/>
    </xf>
    <xf numFmtId="0" fontId="92" fillId="26" borderId="98" applyNumberFormat="0" applyAlignment="0" applyProtection="0"/>
    <xf numFmtId="4" fontId="37" fillId="13" borderId="102" applyNumberFormat="0" applyProtection="0">
      <alignment horizontal="right" vertical="center"/>
    </xf>
    <xf numFmtId="0" fontId="66" fillId="26" borderId="93" applyNumberFormat="0" applyAlignment="0" applyProtection="0"/>
    <xf numFmtId="0" fontId="74" fillId="8" borderId="93" applyNumberFormat="0" applyAlignment="0" applyProtection="0"/>
    <xf numFmtId="0" fontId="122" fillId="0" borderId="100" applyProtection="0">
      <alignment horizontal="centerContinuous"/>
    </xf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32" fillId="32" borderId="97" applyNumberFormat="0" applyFont="0" applyAlignment="0" applyProtection="0"/>
    <xf numFmtId="0" fontId="122" fillId="0" borderId="100" applyProtection="0">
      <alignment horizontal="centerContinuous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32" fillId="0" borderId="94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7" fillId="23" borderId="102" applyNumberFormat="0" applyProtection="0">
      <alignment horizontal="left" vertical="top" indent="1"/>
    </xf>
    <xf numFmtId="0" fontId="51" fillId="0" borderId="94" applyNumberFormat="0" applyProtection="0">
      <alignment horizontal="left" vertical="top" indent="1"/>
    </xf>
    <xf numFmtId="0" fontId="74" fillId="8" borderId="93" applyNumberFormat="0" applyAlignment="0" applyProtection="0"/>
    <xf numFmtId="0" fontId="92" fillId="26" borderId="98" applyNumberFormat="0" applyAlignment="0" applyProtection="0"/>
    <xf numFmtId="0" fontId="123" fillId="0" borderId="101" applyNumberFormat="0" applyFill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74" fillId="8" borderId="93" applyNumberFormat="0" applyAlignment="0" applyProtection="0"/>
    <xf numFmtId="10" fontId="44" fillId="23" borderId="94" applyNumberFormat="0" applyBorder="0" applyAlignment="0" applyProtection="0"/>
    <xf numFmtId="187" fontId="32" fillId="0" borderId="99">
      <protection locked="0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0" fillId="0" borderId="0"/>
    <xf numFmtId="40" fontId="65" fillId="23" borderId="94">
      <alignment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4" fontId="51" fillId="0" borderId="102" applyNumberFormat="0" applyProtection="0">
      <alignment horizontal="left" vertical="center" indent="1"/>
    </xf>
    <xf numFmtId="4" fontId="37" fillId="19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0" fontId="32" fillId="0" borderId="94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0" borderId="94" applyNumberFormat="0" applyProtection="0">
      <alignment horizontal="left" vertical="center" indent="1"/>
    </xf>
    <xf numFmtId="4" fontId="37" fillId="23" borderId="102" applyNumberFormat="0" applyProtection="0">
      <alignment vertical="center"/>
    </xf>
    <xf numFmtId="0" fontId="32" fillId="0" borderId="94" applyNumberFormat="0" applyProtection="0">
      <alignment horizontal="left" vertical="center" indent="1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66" fillId="26" borderId="93" applyNumberFormat="0" applyAlignment="0" applyProtection="0"/>
    <xf numFmtId="210" fontId="126" fillId="0" borderId="94" applyFont="0" applyFill="0" applyBorder="0" applyAlignment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122" fillId="0" borderId="100" applyProtection="0">
      <alignment horizontal="centerContinuous"/>
    </xf>
    <xf numFmtId="0" fontId="74" fillId="8" borderId="93" applyNumberFormat="0" applyAlignment="0" applyProtection="0"/>
    <xf numFmtId="0" fontId="66" fillId="26" borderId="93" applyNumberFormat="0" applyAlignment="0" applyProtection="0"/>
    <xf numFmtId="187" fontId="32" fillId="0" borderId="99">
      <protection locked="0"/>
    </xf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22" fillId="0" borderId="0"/>
    <xf numFmtId="0" fontId="22" fillId="0" borderId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210" fontId="126" fillId="0" borderId="94" applyFont="0" applyFill="0" applyBorder="0" applyAlignment="0"/>
    <xf numFmtId="9" fontId="22" fillId="0" borderId="0" applyFont="0" applyFill="0" applyBorder="0" applyAlignment="0" applyProtection="0"/>
    <xf numFmtId="0" fontId="51" fillId="0" borderId="102" applyNumberFormat="0" applyProtection="0">
      <alignment horizontal="left" vertical="top" indent="1"/>
    </xf>
    <xf numFmtId="4" fontId="37" fillId="21" borderId="102" applyNumberFormat="0" applyProtection="0">
      <alignment horizontal="right" vertical="center"/>
    </xf>
    <xf numFmtId="0" fontId="32" fillId="52" borderId="102" applyNumberFormat="0" applyProtection="0">
      <alignment horizontal="left" vertical="center" indent="1"/>
    </xf>
    <xf numFmtId="4" fontId="133" fillId="23" borderId="102" applyNumberFormat="0" applyProtection="0">
      <alignment vertical="center"/>
    </xf>
    <xf numFmtId="4" fontId="133" fillId="0" borderId="102" applyNumberFormat="0" applyProtection="0">
      <alignment horizontal="right" vertical="center"/>
    </xf>
    <xf numFmtId="0" fontId="123" fillId="0" borderId="101" applyNumberFormat="0" applyFill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74" fillId="8" borderId="93" applyNumberFormat="0" applyAlignment="0" applyProtection="0"/>
    <xf numFmtId="0" fontId="142" fillId="32" borderId="97" applyNumberFormat="0" applyFont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0" borderId="103" applyNumberFormat="0" applyProtection="0">
      <alignment horizontal="left" vertical="center" indent="1"/>
    </xf>
    <xf numFmtId="0" fontId="74" fillId="8" borderId="93" applyNumberFormat="0" applyAlignment="0" applyProtection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1">
      <protection locked="0"/>
    </xf>
    <xf numFmtId="0" fontId="92" fillId="26" borderId="88" applyNumberFormat="0" applyAlignment="0" applyProtection="0"/>
    <xf numFmtId="0" fontId="74" fillId="8" borderId="86" applyNumberFormat="0" applyAlignment="0" applyProtection="0"/>
    <xf numFmtId="0" fontId="32" fillId="32" borderId="97" applyNumberFormat="0" applyFont="0" applyAlignment="0" applyProtection="0"/>
    <xf numFmtId="4" fontId="32" fillId="0" borderId="83" applyNumberFormat="0" applyProtection="0">
      <alignment horizontal="right" vertical="center"/>
    </xf>
    <xf numFmtId="0" fontId="37" fillId="23" borderId="83" applyNumberFormat="0" applyProtection="0">
      <alignment horizontal="left" vertical="top" indent="1"/>
    </xf>
    <xf numFmtId="0" fontId="32" fillId="52" borderId="83" applyNumberFormat="0" applyProtection="0">
      <alignment horizontal="left" vertical="top" indent="1"/>
    </xf>
    <xf numFmtId="0" fontId="32" fillId="22" borderId="83" applyNumberFormat="0" applyProtection="0">
      <alignment horizontal="left" vertical="top" indent="1"/>
    </xf>
    <xf numFmtId="4" fontId="37" fillId="20" borderId="83" applyNumberFormat="0" applyProtection="0">
      <alignment horizontal="right" vertical="center"/>
    </xf>
    <xf numFmtId="4" fontId="37" fillId="19" borderId="83" applyNumberFormat="0" applyProtection="0">
      <alignment horizontal="right" vertical="center"/>
    </xf>
    <xf numFmtId="0" fontId="51" fillId="0" borderId="83" applyNumberFormat="0" applyProtection="0">
      <alignment horizontal="left" vertical="top" indent="1"/>
    </xf>
    <xf numFmtId="210" fontId="126" fillId="0" borderId="94" applyFont="0" applyFill="0" applyBorder="0" applyAlignment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11" borderId="102" applyNumberFormat="0" applyProtection="0">
      <alignment horizontal="right" vertical="center"/>
    </xf>
    <xf numFmtId="0" fontId="32" fillId="22" borderId="102" applyNumberFormat="0" applyProtection="0">
      <alignment horizontal="left" vertical="top" indent="1"/>
    </xf>
    <xf numFmtId="0" fontId="66" fillId="26" borderId="93" applyNumberFormat="0" applyAlignment="0" applyProtection="0"/>
    <xf numFmtId="0" fontId="32" fillId="32" borderId="97" applyNumberFormat="0" applyFon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210" fontId="126" fillId="0" borderId="94" applyFont="0" applyFill="0" applyBorder="0" applyAlignment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22" fillId="0" borderId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74" fillId="8" borderId="86" applyNumberFormat="0" applyAlignment="0" applyProtection="0"/>
    <xf numFmtId="40" fontId="65" fillId="23" borderId="85">
      <alignment vertical="center"/>
    </xf>
    <xf numFmtId="0" fontId="66" fillId="26" borderId="86" applyNumberFormat="0" applyAlignment="0" applyProtection="0"/>
    <xf numFmtId="0" fontId="66" fillId="26" borderId="86" applyNumberFormat="0" applyAlignment="0" applyProtection="0"/>
    <xf numFmtId="4" fontId="37" fillId="0" borderId="84" applyNumberFormat="0" applyProtection="0">
      <alignment horizontal="left" vertical="center" indent="1"/>
    </xf>
    <xf numFmtId="4" fontId="133" fillId="0" borderId="83" applyNumberFormat="0" applyProtection="0">
      <alignment horizontal="right" vertical="center"/>
    </xf>
    <xf numFmtId="0" fontId="50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0" fontId="66" fillId="26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4" fontId="131" fillId="29" borderId="102" applyNumberFormat="0" applyProtection="0">
      <alignment vertical="center"/>
    </xf>
    <xf numFmtId="4" fontId="37" fillId="20" borderId="102" applyNumberFormat="0" applyProtection="0">
      <alignment horizontal="right" vertical="center"/>
    </xf>
    <xf numFmtId="0" fontId="32" fillId="23" borderId="95" applyNumberFormat="0" applyFont="0" applyBorder="0" applyAlignment="0" applyProtection="0"/>
    <xf numFmtId="0" fontId="32" fillId="32" borderId="97" applyNumberFormat="0" applyFont="0" applyAlignment="0" applyProtection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2" fillId="0" borderId="102" applyNumberFormat="0" applyProtection="0">
      <alignment horizontal="right"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22" fillId="0" borderId="0"/>
    <xf numFmtId="0" fontId="66" fillId="26" borderId="93" applyNumberFormat="0" applyAlignment="0" applyProtection="0"/>
    <xf numFmtId="0" fontId="66" fillId="26" borderId="93" applyNumberFormat="0" applyAlignment="0" applyProtection="0"/>
    <xf numFmtId="0" fontId="32" fillId="23" borderId="95" applyNumberFormat="0" applyFont="0" applyBorder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122" fillId="0" borderId="100" applyProtection="0">
      <alignment horizontal="centerContinuous"/>
    </xf>
    <xf numFmtId="167" fontId="22" fillId="0" borderId="0" applyFont="0" applyFill="0" applyBorder="0" applyAlignment="0" applyProtection="0"/>
    <xf numFmtId="4" fontId="37" fillId="4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50" borderId="102" applyNumberFormat="0" applyProtection="0">
      <alignment horizontal="right" vertical="center"/>
    </xf>
    <xf numFmtId="4" fontId="37" fillId="0" borderId="94" applyNumberFormat="0" applyProtection="0">
      <alignment horizontal="right" vertical="center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0" borderId="94" applyNumberFormat="0" applyProtection="0">
      <alignment horizontal="left" vertical="center" indent="1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42" fillId="32" borderId="76" applyNumberFormat="0" applyFont="0" applyAlignment="0" applyProtection="0"/>
    <xf numFmtId="0" fontId="22" fillId="0" borderId="0"/>
    <xf numFmtId="0" fontId="22" fillId="0" borderId="0"/>
    <xf numFmtId="0" fontId="22" fillId="0" borderId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32" fillId="32" borderId="76" applyNumberFormat="0" applyFont="0" applyAlignment="0" applyProtection="0"/>
    <xf numFmtId="0" fontId="50" fillId="32" borderId="97" applyNumberFormat="0" applyFont="0" applyAlignment="0" applyProtection="0"/>
    <xf numFmtId="0" fontId="30" fillId="0" borderId="0"/>
    <xf numFmtId="0" fontId="74" fillId="8" borderId="93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" fontId="37" fillId="23" borderId="102" applyNumberFormat="0" applyProtection="0">
      <alignment horizontal="left" vertical="center" indent="1"/>
    </xf>
    <xf numFmtId="4" fontId="37" fillId="0" borderId="103" applyNumberFormat="0" applyProtection="0">
      <alignment horizontal="left" vertical="center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0" fontId="65" fillId="23" borderId="94">
      <alignment vertical="center"/>
    </xf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0" fontId="66" fillId="26" borderId="93" applyNumberFormat="0" applyAlignment="0" applyProtection="0"/>
    <xf numFmtId="0" fontId="50" fillId="32" borderId="97" applyNumberFormat="0" applyFont="0" applyAlignment="0" applyProtection="0"/>
    <xf numFmtId="0" fontId="22" fillId="0" borderId="0"/>
    <xf numFmtId="167" fontId="22" fillId="0" borderId="0" applyFont="0" applyFill="0" applyBorder="0" applyAlignment="0" applyProtection="0"/>
    <xf numFmtId="0" fontId="50" fillId="32" borderId="76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0" fontId="44" fillId="23" borderId="94" applyNumberFormat="0" applyBorder="0" applyAlignment="0" applyProtection="0"/>
    <xf numFmtId="0" fontId="2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210" fontId="126" fillId="0" borderId="74" applyFont="0" applyFill="0" applyBorder="0" applyAlignment="0"/>
    <xf numFmtId="40" fontId="65" fillId="23" borderId="74">
      <alignment vertical="center"/>
    </xf>
    <xf numFmtId="0" fontId="74" fillId="8" borderId="93" applyNumberFormat="0" applyAlignment="0" applyProtection="0"/>
    <xf numFmtId="0" fontId="81" fillId="0" borderId="81">
      <alignment horizontal="left"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0" fontId="51" fillId="0" borderId="74" applyNumberFormat="0" applyProtection="0">
      <alignment horizontal="left" vertical="top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2" fillId="0" borderId="79" applyProtection="0">
      <alignment horizontal="centerContinuous"/>
    </xf>
    <xf numFmtId="0" fontId="122" fillId="0" borderId="79" applyProtection="0">
      <alignment horizontal="centerContinuous"/>
    </xf>
    <xf numFmtId="0" fontId="32" fillId="0" borderId="81" applyFont="0" applyFill="0" applyBorder="0" applyAlignment="0" applyProtection="0"/>
    <xf numFmtId="0" fontId="32" fillId="0" borderId="81" applyFont="0" applyFill="0" applyBorder="0" applyAlignment="0" applyProtection="0"/>
    <xf numFmtId="209" fontId="91" fillId="0" borderId="0" applyFill="0" applyBorder="0" applyProtection="0">
      <alignment horizontal="right"/>
      <protection locked="0"/>
    </xf>
    <xf numFmtId="212" fontId="91" fillId="0" borderId="0" applyFill="0" applyBorder="0" applyProtection="0">
      <alignment horizontal="right"/>
      <protection locked="0"/>
    </xf>
    <xf numFmtId="0" fontId="55" fillId="0" borderId="55" applyBorder="0"/>
    <xf numFmtId="0" fontId="55" fillId="0" borderId="55" applyBorder="0"/>
    <xf numFmtId="0" fontId="55" fillId="0" borderId="55" applyBorder="0"/>
    <xf numFmtId="0" fontId="55" fillId="0" borderId="55" applyBorder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167" fontId="3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0" fontId="43" fillId="0" borderId="0"/>
    <xf numFmtId="0" fontId="22" fillId="0" borderId="0"/>
    <xf numFmtId="0" fontId="2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0" fillId="0" borderId="0"/>
    <xf numFmtId="0" fontId="30" fillId="0" borderId="0"/>
    <xf numFmtId="0" fontId="3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2" fillId="0" borderId="0"/>
    <xf numFmtId="0" fontId="32" fillId="0" borderId="0">
      <alignment vertical="top"/>
    </xf>
    <xf numFmtId="0" fontId="22" fillId="0" borderId="0"/>
    <xf numFmtId="0" fontId="3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0" fontId="22" fillId="0" borderId="0"/>
    <xf numFmtId="0" fontId="32" fillId="0" borderId="0">
      <alignment vertical="top"/>
    </xf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4" fontId="51" fillId="0" borderId="102" applyNumberForma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87" fontId="32" fillId="0" borderId="80">
      <protection locked="0"/>
    </xf>
    <xf numFmtId="0" fontId="92" fillId="26" borderId="88" applyNumberFormat="0" applyAlignment="0" applyProtection="0"/>
    <xf numFmtId="0" fontId="92" fillId="26" borderId="88" applyNumberFormat="0" applyAlignment="0" applyProtection="0"/>
    <xf numFmtId="0" fontId="122" fillId="0" borderId="90" applyProtection="0">
      <alignment horizontal="centerContinuous"/>
    </xf>
    <xf numFmtId="0" fontId="123" fillId="0" borderId="89" applyNumberFormat="0" applyFill="0" applyAlignment="0" applyProtection="0"/>
    <xf numFmtId="210" fontId="126" fillId="0" borderId="85" applyFont="0" applyFill="0" applyBorder="0" applyAlignment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4" applyNumberFormat="0" applyProtection="0">
      <alignment horizontal="left" vertical="center" indent="1"/>
    </xf>
    <xf numFmtId="0" fontId="51" fillId="0" borderId="85" applyNumberFormat="0" applyProtection="0">
      <alignment horizontal="left" vertical="top" indent="1"/>
    </xf>
    <xf numFmtId="0" fontId="74" fillId="8" borderId="86" applyNumberFormat="0" applyAlignment="0" applyProtection="0"/>
    <xf numFmtId="0" fontId="66" fillId="26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210" fontId="126" fillId="0" borderId="85" applyFont="0" applyFill="0" applyBorder="0" applyAlignment="0"/>
    <xf numFmtId="210" fontId="126" fillId="0" borderId="85" applyFont="0" applyFill="0" applyBorder="0" applyAlignment="0"/>
    <xf numFmtId="40" fontId="65" fillId="23" borderId="85">
      <alignment vertical="center"/>
    </xf>
    <xf numFmtId="40" fontId="65" fillId="23" borderId="85">
      <alignment vertical="center"/>
    </xf>
    <xf numFmtId="0" fontId="81" fillId="0" borderId="92">
      <alignment horizontal="left" vertical="center"/>
    </xf>
    <xf numFmtId="0" fontId="81" fillId="0" borderId="92">
      <alignment horizontal="left" vertical="center"/>
    </xf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5" applyNumberFormat="0" applyProtection="0">
      <alignment horizontal="right" vertical="center"/>
    </xf>
    <xf numFmtId="0" fontId="51" fillId="0" borderId="85" applyNumberFormat="0" applyProtection="0">
      <alignment horizontal="left" vertical="top" indent="1"/>
    </xf>
    <xf numFmtId="0" fontId="51" fillId="0" borderId="85" applyNumberFormat="0" applyProtection="0">
      <alignment horizontal="left" vertical="top" indent="1"/>
    </xf>
    <xf numFmtId="0" fontId="122" fillId="0" borderId="90" applyProtection="0">
      <alignment horizontal="centerContinuous"/>
    </xf>
    <xf numFmtId="0" fontId="122" fillId="0" borderId="90" applyProtection="0">
      <alignment horizontal="centerContinuous"/>
    </xf>
    <xf numFmtId="0" fontId="32" fillId="0" borderId="92" applyFont="0" applyFill="0" applyBorder="0" applyAlignment="0" applyProtection="0"/>
    <xf numFmtId="0" fontId="32" fillId="0" borderId="92" applyFont="0" applyFill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32" borderId="87" applyNumberFormat="0" applyFont="0" applyAlignment="0" applyProtection="0"/>
    <xf numFmtId="187" fontId="32" fillId="0" borderId="91">
      <protection locked="0"/>
    </xf>
    <xf numFmtId="0" fontId="50" fillId="32" borderId="97" applyNumberFormat="0" applyFon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9">
      <protection locked="0"/>
    </xf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47" fillId="0" borderId="0" applyNumberFormat="0" applyFill="0" applyBorder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37" fontId="55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8" fillId="0" borderId="0"/>
    <xf numFmtId="0" fontId="148" fillId="0" borderId="0"/>
    <xf numFmtId="0" fontId="148" fillId="0" borderId="0"/>
    <xf numFmtId="0" fontId="148" fillId="0" borderId="0"/>
    <xf numFmtId="0" fontId="70" fillId="0" borderId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7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140" fillId="0" borderId="0" applyFont="0" applyFill="0" applyBorder="0" applyAlignment="0" applyProtection="0"/>
    <xf numFmtId="0" fontId="140" fillId="0" borderId="0" applyFont="0" applyFill="0" applyBorder="0" applyAlignment="0" applyProtection="0"/>
    <xf numFmtId="9" fontId="32" fillId="53" borderId="0"/>
    <xf numFmtId="9" fontId="32" fillId="53" borderId="0"/>
    <xf numFmtId="9" fontId="32" fillId="53" borderId="0"/>
    <xf numFmtId="9" fontId="32" fillId="53" borderId="0"/>
    <xf numFmtId="192" fontId="63" fillId="0" borderId="0">
      <protection locked="0"/>
    </xf>
    <xf numFmtId="192" fontId="63" fillId="0" borderId="0">
      <protection locked="0"/>
    </xf>
    <xf numFmtId="192" fontId="63" fillId="0" borderId="0">
      <protection locked="0"/>
    </xf>
    <xf numFmtId="0" fontId="32" fillId="0" borderId="0"/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149" fillId="0" borderId="0">
      <alignment horizontal="left"/>
    </xf>
    <xf numFmtId="3" fontId="49" fillId="2" borderId="0">
      <alignment horizontal="left"/>
    </xf>
    <xf numFmtId="3" fontId="49" fillId="2" borderId="0">
      <alignment horizontal="left"/>
    </xf>
    <xf numFmtId="0" fontId="150" fillId="3" borderId="0" applyNumberFormat="0" applyBorder="0" applyAlignment="0" applyProtection="0"/>
    <xf numFmtId="0" fontId="150" fillId="4" borderId="0" applyNumberFormat="0" applyBorder="0" applyAlignment="0" applyProtection="0"/>
    <xf numFmtId="0" fontId="150" fillId="5" borderId="0" applyNumberFormat="0" applyBorder="0" applyAlignment="0" applyProtection="0"/>
    <xf numFmtId="0" fontId="150" fillId="6" borderId="0" applyNumberFormat="0" applyBorder="0" applyAlignment="0" applyProtection="0"/>
    <xf numFmtId="0" fontId="150" fillId="7" borderId="0" applyNumberFormat="0" applyBorder="0" applyAlignment="0" applyProtection="0"/>
    <xf numFmtId="0" fontId="150" fillId="8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0" fontId="150" fillId="10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6" borderId="0" applyNumberFormat="0" applyBorder="0" applyAlignment="0" applyProtection="0"/>
    <xf numFmtId="0" fontId="150" fillId="10" borderId="0" applyNumberFormat="0" applyBorder="0" applyAlignment="0" applyProtection="0"/>
    <xf numFmtId="0" fontId="150" fillId="13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0" fontId="151" fillId="14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15" borderId="0" applyNumberFormat="0" applyBorder="0" applyAlignment="0" applyProtection="0"/>
    <xf numFmtId="0" fontId="151" fillId="16" borderId="0" applyNumberFormat="0" applyBorder="0" applyAlignment="0" applyProtection="0"/>
    <xf numFmtId="0" fontId="151" fillId="17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4" borderId="0" applyNumberFormat="0" applyBorder="0" applyAlignment="0" applyProtection="0"/>
    <xf numFmtId="221" fontId="52" fillId="11" borderId="0" applyNumberFormat="0" applyBorder="0" applyAlignment="0" applyProtection="0"/>
    <xf numFmtId="221" fontId="52" fillId="12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17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5" borderId="0" applyNumberFormat="0" applyBorder="0" applyAlignment="0" applyProtection="0"/>
    <xf numFmtId="0" fontId="151" fillId="18" borderId="0" applyNumberFormat="0" applyBorder="0" applyAlignment="0" applyProtection="0"/>
    <xf numFmtId="0" fontId="52" fillId="66" borderId="0" applyNumberFormat="0" applyBorder="0" applyAlignment="0" applyProtection="0"/>
    <xf numFmtId="0" fontId="50" fillId="67" borderId="0" applyNumberFormat="0" applyBorder="0" applyAlignment="0" applyProtection="0"/>
    <xf numFmtId="0" fontId="50" fillId="68" borderId="0" applyNumberFormat="0" applyBorder="0" applyAlignment="0" applyProtection="0"/>
    <xf numFmtId="0" fontId="52" fillId="69" borderId="0" applyNumberFormat="0" applyBorder="0" applyAlignment="0" applyProtection="0"/>
    <xf numFmtId="184" fontId="138" fillId="70" borderId="0" applyNumberFormat="0" applyBorder="0" applyAlignment="0" applyProtection="0"/>
    <xf numFmtId="0" fontId="151" fillId="19" borderId="0" applyNumberFormat="0" applyBorder="0" applyAlignment="0" applyProtection="0"/>
    <xf numFmtId="0" fontId="52" fillId="71" borderId="0" applyNumberFormat="0" applyBorder="0" applyAlignment="0" applyProtection="0"/>
    <xf numFmtId="0" fontId="50" fillId="72" borderId="0" applyNumberFormat="0" applyBorder="0" applyAlignment="0" applyProtection="0"/>
    <xf numFmtId="0" fontId="50" fillId="73" borderId="0" applyNumberFormat="0" applyBorder="0" applyAlignment="0" applyProtection="0"/>
    <xf numFmtId="0" fontId="52" fillId="74" borderId="0" applyNumberFormat="0" applyBorder="0" applyAlignment="0" applyProtection="0"/>
    <xf numFmtId="184" fontId="138" fillId="75" borderId="0" applyNumberFormat="0" applyBorder="0" applyAlignment="0" applyProtection="0"/>
    <xf numFmtId="0" fontId="151" fillId="20" borderId="0" applyNumberFormat="0" applyBorder="0" applyAlignment="0" applyProtection="0"/>
    <xf numFmtId="0" fontId="52" fillId="69" borderId="0" applyNumberFormat="0" applyBorder="0" applyAlignment="0" applyProtection="0"/>
    <xf numFmtId="0" fontId="50" fillId="73" borderId="0" applyNumberFormat="0" applyBorder="0" applyAlignment="0" applyProtection="0"/>
    <xf numFmtId="0" fontId="50" fillId="74" borderId="0" applyNumberFormat="0" applyBorder="0" applyAlignment="0" applyProtection="0"/>
    <xf numFmtId="0" fontId="52" fillId="74" borderId="0" applyNumberFormat="0" applyBorder="0" applyAlignment="0" applyProtection="0"/>
    <xf numFmtId="0" fontId="151" fillId="15" borderId="0" applyNumberFormat="0" applyBorder="0" applyAlignment="0" applyProtection="0"/>
    <xf numFmtId="0" fontId="52" fillId="76" borderId="0" applyNumberFormat="0" applyBorder="0" applyAlignment="0" applyProtection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4" borderId="0" applyNumberFormat="0" applyBorder="0" applyAlignment="0" applyProtection="0"/>
    <xf numFmtId="0" fontId="151" fillId="16" borderId="0" applyNumberFormat="0" applyBorder="0" applyAlignment="0" applyProtection="0"/>
    <xf numFmtId="0" fontId="52" fillId="77" borderId="0" applyNumberFormat="0" applyBorder="0" applyAlignment="0" applyProtection="0"/>
    <xf numFmtId="0" fontId="50" fillId="78" borderId="0" applyNumberFormat="0" applyBorder="0" applyAlignment="0" applyProtection="0"/>
    <xf numFmtId="0" fontId="50" fillId="68" borderId="0" applyNumberFormat="0" applyBorder="0" applyAlignment="0" applyProtection="0"/>
    <xf numFmtId="0" fontId="52" fillId="79" borderId="0" applyNumberFormat="0" applyBorder="0" applyAlignment="0" applyProtection="0"/>
    <xf numFmtId="0" fontId="151" fillId="21" borderId="0" applyNumberFormat="0" applyBorder="0" applyAlignment="0" applyProtection="0"/>
    <xf numFmtId="0" fontId="52" fillId="80" borderId="0" applyNumberFormat="0" applyBorder="0" applyAlignment="0" applyProtection="0"/>
    <xf numFmtId="177" fontId="33" fillId="22" borderId="2">
      <alignment horizontal="center"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4" fontId="32" fillId="0" borderId="0"/>
    <xf numFmtId="181" fontId="32" fillId="0" borderId="0"/>
    <xf numFmtId="0" fontId="32" fillId="0" borderId="0"/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3" fontId="49" fillId="0" borderId="0" applyNumberFormat="0" applyFill="0" applyBorder="0" applyAlignment="0" applyProtection="0"/>
    <xf numFmtId="0" fontId="152" fillId="0" borderId="10">
      <protection hidden="1"/>
    </xf>
    <xf numFmtId="0" fontId="149" fillId="26" borderId="10" applyNumberFormat="0" applyFont="0" applyBorder="0" applyAlignment="0" applyProtection="0">
      <protection hidden="1"/>
    </xf>
    <xf numFmtId="0" fontId="152" fillId="0" borderId="10">
      <protection hidden="1"/>
    </xf>
    <xf numFmtId="0" fontId="153" fillId="81" borderId="0"/>
    <xf numFmtId="0" fontId="154" fillId="4" borderId="0" applyNumberFormat="0" applyBorder="0" applyAlignment="0" applyProtection="0"/>
    <xf numFmtId="0" fontId="155" fillId="0" borderId="0" applyFont="0" applyFill="0" applyBorder="0" applyAlignment="0" applyProtection="0">
      <alignment horizontal="right"/>
    </xf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156" fillId="0" borderId="55" applyNumberFormat="0" applyFill="0" applyAlignment="0" applyProtection="0"/>
    <xf numFmtId="178" fontId="157" fillId="0" borderId="0">
      <alignment horizontal="right"/>
    </xf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2" fontId="121" fillId="0" borderId="63" applyAlignment="0" applyProtection="0"/>
    <xf numFmtId="221" fontId="62" fillId="5" borderId="0" applyNumberFormat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220" fontId="66" fillId="26" borderId="93" applyNumberFormat="0" applyAlignment="0" applyProtection="0"/>
    <xf numFmtId="221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3" fontId="32" fillId="0" borderId="0" applyFont="0" applyFill="0" applyBorder="0" applyAlignment="0" applyProtection="0"/>
    <xf numFmtId="224" fontId="32" fillId="0" borderId="0" applyFont="0" applyFill="0" applyBorder="0" applyAlignment="0" applyProtection="0"/>
    <xf numFmtId="0" fontId="67" fillId="27" borderId="82" applyNumberFormat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37" fontId="158" fillId="29" borderId="94" applyProtection="0">
      <alignment horizontal="center"/>
    </xf>
    <xf numFmtId="0" fontId="67" fillId="69" borderId="82" applyNumberFormat="0" applyAlignment="0" applyProtection="0"/>
    <xf numFmtId="0" fontId="69" fillId="28" borderId="9" applyFont="0" applyFill="0" applyBorder="0"/>
    <xf numFmtId="0" fontId="44" fillId="0" borderId="10"/>
    <xf numFmtId="0" fontId="44" fillId="0" borderId="10"/>
    <xf numFmtId="0" fontId="44" fillId="0" borderId="10"/>
    <xf numFmtId="0" fontId="31" fillId="0" borderId="0" applyNumberFormat="0" applyFill="0" applyBorder="0" applyAlignment="0" applyProtection="0">
      <alignment vertical="top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225" fontId="160" fillId="0" borderId="0"/>
    <xf numFmtId="225" fontId="160" fillId="0" borderId="0"/>
    <xf numFmtId="213" fontId="126" fillId="0" borderId="0" applyFill="0" applyBorder="0" applyAlignment="0" applyProtection="0"/>
    <xf numFmtId="40" fontId="126" fillId="0" borderId="0" applyFill="0" applyBorder="0" applyAlignment="0" applyProtection="0"/>
    <xf numFmtId="226" fontId="126" fillId="82" borderId="0" applyFill="0" applyBorder="0" applyAlignment="0">
      <alignment vertical="top"/>
    </xf>
    <xf numFmtId="227" fontId="126" fillId="0" borderId="0" applyFill="0" applyBorder="0" applyAlignment="0" applyProtection="0"/>
    <xf numFmtId="18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6" fontId="37" fillId="0" borderId="0" applyProtection="0"/>
    <xf numFmtId="223" fontId="37" fillId="0" borderId="0" applyProtection="0"/>
    <xf numFmtId="168" fontId="37" fillId="0" borderId="0" applyProtection="0"/>
    <xf numFmtId="166" fontId="85" fillId="0" borderId="0" applyProtection="0"/>
    <xf numFmtId="223" fontId="85" fillId="0" borderId="0" applyProtection="0"/>
    <xf numFmtId="168" fontId="85" fillId="0" borderId="0" applyProtection="0"/>
    <xf numFmtId="0" fontId="70" fillId="0" borderId="0"/>
    <xf numFmtId="0" fontId="55" fillId="0" borderId="0"/>
    <xf numFmtId="0" fontId="162" fillId="0" borderId="0"/>
    <xf numFmtId="0" fontId="70" fillId="0" borderId="0"/>
    <xf numFmtId="3" fontId="71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55" fillId="0" borderId="0"/>
    <xf numFmtId="0" fontId="162" fillId="0" borderId="0"/>
    <xf numFmtId="0" fontId="70" fillId="0" borderId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228" fontId="126" fillId="82" borderId="99" applyFill="0" applyBorder="0" applyAlignment="0">
      <alignment horizontal="right"/>
    </xf>
    <xf numFmtId="0" fontId="161" fillId="0" borderId="0" applyFont="0" applyFill="0" applyBorder="0" applyAlignment="0" applyProtection="0">
      <alignment horizontal="right"/>
    </xf>
    <xf numFmtId="0" fontId="161" fillId="0" borderId="0" applyFont="0" applyFill="0" applyBorder="0" applyAlignment="0" applyProtection="0">
      <alignment horizontal="right"/>
    </xf>
    <xf numFmtId="182" fontId="71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161" fillId="0" borderId="0" applyFont="0" applyFill="0" applyBorder="0" applyAlignment="0" applyProtection="0"/>
    <xf numFmtId="14" fontId="37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72" fillId="0" borderId="0" applyFont="0" applyFill="0" applyBorder="0" applyAlignment="0"/>
    <xf numFmtId="183" fontId="32" fillId="0" borderId="12">
      <alignment vertical="center"/>
    </xf>
    <xf numFmtId="0" fontId="163" fillId="9" borderId="64" applyNumberFormat="0" applyBorder="0" applyAlignment="0">
      <alignment horizontal="center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0" fontId="63" fillId="0" borderId="0">
      <protection locked="0"/>
    </xf>
    <xf numFmtId="0" fontId="161" fillId="0" borderId="105" applyNumberFormat="0" applyFont="0" applyFill="0" applyAlignment="0" applyProtection="0"/>
    <xf numFmtId="0" fontId="126" fillId="0" borderId="0" applyNumberFormat="0" applyFill="0" applyBorder="0" applyAlignment="0" applyProtection="0"/>
    <xf numFmtId="0" fontId="123" fillId="83" borderId="0" applyNumberFormat="0" applyBorder="0" applyAlignment="0" applyProtection="0"/>
    <xf numFmtId="0" fontId="123" fillId="84" borderId="0" applyNumberFormat="0" applyBorder="0" applyAlignment="0" applyProtection="0"/>
    <xf numFmtId="0" fontId="123" fillId="85" borderId="0" applyNumberFormat="0" applyBorder="0" applyAlignment="0" applyProtection="0"/>
    <xf numFmtId="0" fontId="164" fillId="0" borderId="0">
      <protection locked="0"/>
    </xf>
    <xf numFmtId="0" fontId="164" fillId="0" borderId="0">
      <protection locked="0"/>
    </xf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18" borderId="0" applyNumberFormat="0" applyBorder="0" applyAlignment="0" applyProtection="0"/>
    <xf numFmtId="221" fontId="52" fillId="19" borderId="0" applyNumberFormat="0" applyBorder="0" applyAlignment="0" applyProtection="0"/>
    <xf numFmtId="221" fontId="52" fillId="20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184" fontId="32" fillId="0" borderId="0" applyFont="0" applyFill="0" applyBorder="0" applyAlignment="0" applyProtection="0"/>
    <xf numFmtId="220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229" fontId="32" fillId="0" borderId="0" applyFill="0" applyBorder="0" applyAlignment="0" applyProtection="0"/>
    <xf numFmtId="0" fontId="165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7" fontId="76" fillId="0" borderId="0" applyBorder="0" applyAlignment="0"/>
    <xf numFmtId="37" fontId="76" fillId="0" borderId="0" applyBorder="0" applyAlignment="0"/>
    <xf numFmtId="0" fontId="63" fillId="0" borderId="0">
      <protection locked="0"/>
    </xf>
    <xf numFmtId="3" fontId="71" fillId="0" borderId="0" applyFont="0" applyFill="0" applyBorder="0" applyAlignment="0" applyProtection="0"/>
    <xf numFmtId="0" fontId="63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6" fontId="63" fillId="0" borderId="0">
      <protection locked="0"/>
    </xf>
    <xf numFmtId="186" fontId="63" fillId="0" borderId="0">
      <protection locked="0"/>
    </xf>
    <xf numFmtId="0" fontId="166" fillId="0" borderId="0" applyFill="0" applyBorder="0" applyProtection="0">
      <alignment horizontal="left"/>
    </xf>
    <xf numFmtId="0" fontId="139" fillId="0" borderId="0"/>
    <xf numFmtId="38" fontId="163" fillId="0" borderId="10" applyBorder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2" fontId="32" fillId="0" borderId="0"/>
    <xf numFmtId="2" fontId="32" fillId="0" borderId="0"/>
    <xf numFmtId="2" fontId="32" fillId="0" borderId="0"/>
    <xf numFmtId="2" fontId="32" fillId="0" borderId="0"/>
    <xf numFmtId="0" fontId="167" fillId="5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61" fillId="0" borderId="0" applyFont="0" applyFill="0" applyBorder="0" applyAlignment="0" applyProtection="0">
      <alignment horizontal="right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68" fillId="0" borderId="0" applyProtection="0">
      <alignment horizontal="left"/>
    </xf>
    <xf numFmtId="184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230" fontId="126" fillId="0" borderId="0" applyFill="0" applyBorder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169" fillId="0" borderId="0" applyNumberFormat="0" applyFill="0" applyBorder="0" applyAlignment="0" applyProtection="0">
      <alignment vertical="top"/>
      <protection locked="0"/>
    </xf>
    <xf numFmtId="0" fontId="16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0" fontId="46" fillId="0" borderId="0"/>
    <xf numFmtId="231" fontId="32" fillId="0" borderId="0" applyNumberFormat="0" applyFill="0" applyBorder="0" applyAlignment="0" applyProtection="0"/>
    <xf numFmtId="231" fontId="32" fillId="0" borderId="0" applyNumberFormat="0" applyFill="0" applyBorder="0" applyAlignment="0" applyProtection="0"/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232" fontId="140" fillId="0" borderId="0"/>
    <xf numFmtId="232" fontId="140" fillId="0" borderId="0"/>
    <xf numFmtId="232" fontId="140" fillId="0" borderId="0"/>
    <xf numFmtId="233" fontId="140" fillId="0" borderId="0"/>
    <xf numFmtId="233" fontId="140" fillId="0" borderId="0"/>
    <xf numFmtId="233" fontId="140" fillId="0" borderId="0"/>
    <xf numFmtId="234" fontId="140" fillId="0" borderId="0"/>
    <xf numFmtId="234" fontId="140" fillId="0" borderId="0"/>
    <xf numFmtId="234" fontId="140" fillId="0" borderId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0" fontId="170" fillId="86" borderId="0" applyNumberFormat="0" applyBorder="0" applyAlignment="0">
      <protection locked="0"/>
    </xf>
    <xf numFmtId="0" fontId="74" fillId="8" borderId="93" applyNumberFormat="0" applyAlignment="0" applyProtection="0"/>
    <xf numFmtId="235" fontId="171" fillId="0" borderId="0"/>
    <xf numFmtId="0" fontId="31" fillId="0" borderId="0" applyNumberFormat="0" applyFill="0" applyBorder="0" applyAlignment="0" applyProtection="0">
      <alignment vertical="top"/>
      <protection locked="0"/>
    </xf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72" fillId="0" borderId="8" applyNumberFormat="0" applyFill="0" applyAlignment="0" applyProtection="0"/>
    <xf numFmtId="0" fontId="173" fillId="0" borderId="10">
      <alignment horizontal="left"/>
      <protection locked="0"/>
    </xf>
    <xf numFmtId="236" fontId="174" fillId="0" borderId="0" applyFont="0" applyFill="0" applyBorder="0" applyAlignment="0" applyProtection="0"/>
    <xf numFmtId="38" fontId="72" fillId="0" borderId="0" applyFont="0" applyFill="0" applyBorder="0" applyAlignment="0" applyProtection="0"/>
    <xf numFmtId="40" fontId="72" fillId="0" borderId="0" applyFont="0" applyFill="0" applyBorder="0" applyAlignment="0" applyProtection="0"/>
    <xf numFmtId="0" fontId="175" fillId="0" borderId="0" applyBorder="0"/>
    <xf numFmtId="237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88" fontId="63" fillId="0" borderId="0">
      <protection locked="0"/>
    </xf>
    <xf numFmtId="188" fontId="63" fillId="0" borderId="0">
      <protection locked="0"/>
    </xf>
    <xf numFmtId="239" fontId="32" fillId="0" borderId="0" applyFont="0" applyFill="0" applyBorder="0" applyAlignment="0" applyProtection="0"/>
    <xf numFmtId="24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3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9" fontId="146" fillId="0" borderId="0" applyProtection="0"/>
    <xf numFmtId="241" fontId="146" fillId="0" borderId="0" applyProtection="0"/>
    <xf numFmtId="242" fontId="146" fillId="0" borderId="0" applyProtection="0"/>
    <xf numFmtId="169" fontId="146" fillId="0" borderId="0" applyProtection="0"/>
    <xf numFmtId="241" fontId="146" fillId="0" borderId="0" applyProtection="0"/>
    <xf numFmtId="242" fontId="146" fillId="0" borderId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0" fontId="176" fillId="31" borderId="0" applyNumberFormat="0" applyBorder="0" applyAlignment="0" applyProtection="0"/>
    <xf numFmtId="0" fontId="32" fillId="0" borderId="0" applyNumberFormat="0" applyFill="0" applyBorder="0" applyAlignment="0" applyProtection="0"/>
    <xf numFmtId="37" fontId="89" fillId="0" borderId="0"/>
    <xf numFmtId="37" fontId="89" fillId="0" borderId="0"/>
    <xf numFmtId="0" fontId="46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33" fontId="140" fillId="0" borderId="0"/>
    <xf numFmtId="233" fontId="140" fillId="0" borderId="0"/>
    <xf numFmtId="233" fontId="140" fillId="0" borderId="0"/>
    <xf numFmtId="244" fontId="140" fillId="0" borderId="0">
      <alignment horizontal="right"/>
    </xf>
    <xf numFmtId="244" fontId="140" fillId="0" borderId="0">
      <alignment horizontal="right"/>
    </xf>
    <xf numFmtId="244" fontId="140" fillId="0" borderId="0">
      <alignment horizontal="right"/>
    </xf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0" fontId="30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 applyFill="0" applyBorder="0" applyAlignment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32" fillId="0" borderId="0"/>
    <xf numFmtId="221" fontId="32" fillId="0" borderId="0"/>
    <xf numFmtId="221" fontId="32" fillId="0" borderId="0"/>
    <xf numFmtId="221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1" fillId="0" borderId="0"/>
    <xf numFmtId="0" fontId="21" fillId="0" borderId="0"/>
    <xf numFmtId="0" fontId="3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0" fontId="32" fillId="0" borderId="0"/>
    <xf numFmtId="0" fontId="32" fillId="0" borderId="0"/>
    <xf numFmtId="221" fontId="32" fillId="0" borderId="0"/>
    <xf numFmtId="0" fontId="32" fillId="0" borderId="0"/>
    <xf numFmtId="0" fontId="32" fillId="0" borderId="0"/>
    <xf numFmtId="220" fontId="32" fillId="0" borderId="0"/>
    <xf numFmtId="221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32" fillId="0" borderId="0">
      <alignment vertical="top"/>
    </xf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72" fillId="0" borderId="0"/>
    <xf numFmtId="221" fontId="72" fillId="0" borderId="0"/>
    <xf numFmtId="220" fontId="32" fillId="0" borderId="0"/>
    <xf numFmtId="0" fontId="32" fillId="0" borderId="0"/>
    <xf numFmtId="221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184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8" fillId="0" borderId="0"/>
    <xf numFmtId="0" fontId="146" fillId="0" borderId="0"/>
    <xf numFmtId="0" fontId="174" fillId="0" borderId="0"/>
    <xf numFmtId="0" fontId="148" fillId="0" borderId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1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0" fontId="179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0" fillId="33" borderId="29"/>
    <xf numFmtId="1" fontId="181" fillId="0" borderId="0" applyProtection="0">
      <alignment horizontal="right" vertical="center"/>
    </xf>
    <xf numFmtId="178" fontId="182" fillId="0" borderId="55">
      <alignment vertical="center"/>
    </xf>
    <xf numFmtId="0" fontId="70" fillId="0" borderId="0"/>
    <xf numFmtId="0" fontId="55" fillId="0" borderId="0"/>
    <xf numFmtId="0" fontId="32" fillId="0" borderId="54" applyFont="0" applyFill="0" applyBorder="0" applyAlignment="0" applyProtection="0">
      <alignment horizontal="right"/>
    </xf>
    <xf numFmtId="245" fontId="126" fillId="82" borderId="0" applyFill="0" applyBorder="0" applyAlignment="0" applyProtection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46" fontId="126" fillId="82" borderId="0" applyFill="0" applyBorder="0" applyAlignment="0" applyProtection="0">
      <alignment vertical="top"/>
    </xf>
    <xf numFmtId="247" fontId="126" fillId="0" borderId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10" fontId="71" fillId="0" borderId="0" applyFont="0" applyFill="0" applyBorder="0" applyAlignment="0" applyProtection="0"/>
    <xf numFmtId="250" fontId="63" fillId="0" borderId="0">
      <protection locked="0"/>
    </xf>
    <xf numFmtId="193" fontId="63" fillId="0" borderId="0">
      <protection locked="0"/>
    </xf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63" fillId="0" borderId="0">
      <protection locked="0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0" fontId="71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83" fillId="0" borderId="0" applyNumberFormat="0">
      <alignment horizontal="left"/>
    </xf>
    <xf numFmtId="231" fontId="32" fillId="0" borderId="0" applyNumberFormat="0" applyAlignment="0">
      <alignment horizontal="left"/>
    </xf>
    <xf numFmtId="0" fontId="72" fillId="0" borderId="0" applyNumberFormat="0" applyFont="0" applyFill="0" applyBorder="0" applyAlignment="0" applyProtection="0">
      <alignment horizontal="left"/>
    </xf>
    <xf numFmtId="15" fontId="72" fillId="0" borderId="0" applyFont="0" applyFill="0" applyBorder="0" applyAlignment="0" applyProtection="0"/>
    <xf numFmtId="4" fontId="72" fillId="0" borderId="0" applyFont="0" applyFill="0" applyBorder="0" applyAlignment="0" applyProtection="0"/>
    <xf numFmtId="0" fontId="121" fillId="0" borderId="106">
      <alignment horizontal="center"/>
    </xf>
    <xf numFmtId="3" fontId="72" fillId="0" borderId="0" applyFont="0" applyFill="0" applyBorder="0" applyAlignment="0" applyProtection="0"/>
    <xf numFmtId="0" fontId="72" fillId="28" borderId="0" applyNumberFormat="0" applyFont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0" fontId="184" fillId="0" borderId="94">
      <alignment horizontal="center" vertical="center"/>
    </xf>
    <xf numFmtId="0" fontId="185" fillId="0" borderId="107" applyBorder="0">
      <alignment vertical="top"/>
      <protection locked="0"/>
    </xf>
    <xf numFmtId="3" fontId="45" fillId="0" borderId="0" applyFill="0" applyBorder="0" applyAlignment="0" applyProtection="0"/>
    <xf numFmtId="3" fontId="45" fillId="0" borderId="0" applyFill="0" applyBorder="0" applyAlignment="0" applyProtection="0"/>
    <xf numFmtId="0" fontId="186" fillId="0" borderId="10" applyNumberFormat="0" applyFill="0" applyBorder="0" applyAlignment="0" applyProtection="0">
      <protection hidden="1"/>
    </xf>
    <xf numFmtId="38" fontId="183" fillId="0" borderId="0"/>
    <xf numFmtId="220" fontId="92" fillId="26" borderId="98" applyNumberFormat="0" applyAlignment="0" applyProtection="0"/>
    <xf numFmtId="221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4" fontId="51" fillId="0" borderId="102" applyNumberFormat="0" applyProtection="0">
      <alignment vertical="center"/>
    </xf>
    <xf numFmtId="4" fontId="131" fillId="29" borderId="102" applyNumberFormat="0" applyProtection="0">
      <alignment vertical="center"/>
    </xf>
    <xf numFmtId="4" fontId="51" fillId="0" borderId="102" applyNumberFormat="0" applyProtection="0">
      <alignment horizontal="left" vertical="center" indent="1"/>
    </xf>
    <xf numFmtId="0" fontId="51" fillId="0" borderId="102" applyNumberFormat="0" applyProtection="0">
      <alignment horizontal="left" vertical="top" indent="1"/>
    </xf>
    <xf numFmtId="0" fontId="32" fillId="87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4" fontId="51" fillId="50" borderId="0" applyNumberFormat="0" applyProtection="0">
      <alignment horizontal="left" vertical="center" indent="1"/>
    </xf>
    <xf numFmtId="4" fontId="37" fillId="4" borderId="102" applyNumberFormat="0" applyProtection="0">
      <alignment horizontal="right" vertical="center"/>
    </xf>
    <xf numFmtId="4" fontId="37" fillId="11" borderId="102" applyNumberFormat="0" applyProtection="0">
      <alignment horizontal="right" vertical="center"/>
    </xf>
    <xf numFmtId="4" fontId="37" fillId="19" borderId="102" applyNumberFormat="0" applyProtection="0">
      <alignment horizontal="right" vertical="center"/>
    </xf>
    <xf numFmtId="4" fontId="37" fillId="13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21" borderId="102" applyNumberFormat="0" applyProtection="0">
      <alignment horizontal="right" vertical="center"/>
    </xf>
    <xf numFmtId="4" fontId="37" fillId="20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88" borderId="0" applyNumberFormat="0" applyProtection="0">
      <alignment horizontal="left" vertical="center" indent="1"/>
    </xf>
    <xf numFmtId="4" fontId="37" fillId="50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89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22" borderId="102" applyNumberFormat="0" applyProtection="0">
      <alignment horizontal="left" vertical="top" indent="1"/>
    </xf>
    <xf numFmtId="0" fontId="32" fillId="52" borderId="102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2" fillId="82" borderId="94" applyNumberFormat="0">
      <protection locked="0"/>
    </xf>
    <xf numFmtId="4" fontId="37" fillId="23" borderId="102" applyNumberFormat="0" applyProtection="0">
      <alignment vertical="center"/>
    </xf>
    <xf numFmtId="4" fontId="133" fillId="23" borderId="102" applyNumberFormat="0" applyProtection="0">
      <alignment vertical="center"/>
    </xf>
    <xf numFmtId="4" fontId="37" fillId="23" borderId="102" applyNumberFormat="0" applyProtection="0">
      <alignment horizontal="left" vertical="center" indent="1"/>
    </xf>
    <xf numFmtId="0" fontId="37" fillId="23" borderId="102" applyNumberFormat="0" applyProtection="0">
      <alignment horizontal="left" vertical="top" indent="1"/>
    </xf>
    <xf numFmtId="4" fontId="133" fillId="0" borderId="102" applyNumberFormat="0" applyProtection="0">
      <alignment horizontal="right" vertical="center"/>
    </xf>
    <xf numFmtId="0" fontId="187" fillId="0" borderId="0"/>
    <xf numFmtId="4" fontId="122" fillId="0" borderId="0" applyNumberFormat="0" applyProtection="0">
      <alignment horizontal="left" vertical="center" indent="1"/>
    </xf>
    <xf numFmtId="4" fontId="188" fillId="90" borderId="98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188" fillId="90" borderId="98" applyNumberFormat="0" applyProtection="0">
      <alignment horizontal="right" vertical="center"/>
    </xf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92" fontId="95" fillId="0" borderId="0">
      <protection locked="0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119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0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0" fontId="105" fillId="0" borderId="0" applyNumberFormat="0" applyFill="0" applyBorder="0" applyAlignment="0" applyProtection="0"/>
    <xf numFmtId="0" fontId="32" fillId="0" borderId="108"/>
    <xf numFmtId="0" fontId="37" fillId="0" borderId="0">
      <alignment vertical="top"/>
    </xf>
    <xf numFmtId="0" fontId="37" fillId="0" borderId="0">
      <alignment vertical="top"/>
    </xf>
    <xf numFmtId="0" fontId="32" fillId="0" borderId="94" applyNumberFormat="0" applyFont="0" applyFill="0" applyProtection="0">
      <alignment horizontal="center"/>
    </xf>
    <xf numFmtId="22" fontId="32" fillId="0" borderId="94" applyFont="0" applyFill="0" applyProtection="0">
      <alignment horizontal="center"/>
    </xf>
    <xf numFmtId="0" fontId="33" fillId="9" borderId="94" applyNumberFormat="0" applyProtection="0">
      <alignment horizontal="center"/>
    </xf>
    <xf numFmtId="0" fontId="189" fillId="38" borderId="94" applyNumberFormat="0" applyProtection="0">
      <alignment horizontal="right"/>
    </xf>
    <xf numFmtId="4" fontId="32" fillId="0" borderId="94" applyFont="0" applyFill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2" fillId="91" borderId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166" fontId="32" fillId="0" borderId="0"/>
    <xf numFmtId="0" fontId="32" fillId="0" borderId="109"/>
    <xf numFmtId="0" fontId="190" fillId="0" borderId="0" applyBorder="0" applyProtection="0">
      <alignment vertical="center"/>
    </xf>
    <xf numFmtId="0" fontId="146" fillId="0" borderId="53" applyBorder="0" applyProtection="0">
      <alignment horizontal="right" vertical="center"/>
    </xf>
    <xf numFmtId="0" fontId="191" fillId="92" borderId="0" applyBorder="0" applyProtection="0">
      <alignment horizontal="centerContinuous" vertical="center"/>
    </xf>
    <xf numFmtId="0" fontId="191" fillId="93" borderId="53" applyBorder="0" applyProtection="0">
      <alignment horizontal="centerContinuous" vertical="center"/>
    </xf>
    <xf numFmtId="0" fontId="192" fillId="0" borderId="0" applyFill="0" applyBorder="0" applyProtection="0">
      <alignment horizontal="left"/>
    </xf>
    <xf numFmtId="0" fontId="166" fillId="0" borderId="20" applyFill="0" applyBorder="0" applyProtection="0">
      <alignment horizontal="left" vertical="top"/>
    </xf>
    <xf numFmtId="0" fontId="193" fillId="0" borderId="0"/>
    <xf numFmtId="0" fontId="46" fillId="0" borderId="0"/>
    <xf numFmtId="0" fontId="194" fillId="0" borderId="0" applyNumberFormat="0" applyFill="0" applyBorder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40" fontId="195" fillId="0" borderId="0"/>
    <xf numFmtId="184" fontId="101" fillId="0" borderId="0" applyNumberFormat="0" applyFill="0" applyBorder="0" applyAlignment="0" applyProtection="0"/>
    <xf numFmtId="220" fontId="103" fillId="0" borderId="25" applyNumberFormat="0" applyFill="0" applyAlignment="0" applyProtection="0"/>
    <xf numFmtId="221" fontId="103" fillId="0" borderId="25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5" applyNumberFormat="0" applyFill="0" applyAlignment="0" applyProtection="0"/>
    <xf numFmtId="221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4" fillId="0" borderId="26" applyNumberFormat="0" applyFill="0" applyAlignment="0" applyProtection="0"/>
    <xf numFmtId="221" fontId="104" fillId="0" borderId="26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6" applyNumberFormat="0" applyFill="0" applyAlignment="0" applyProtection="0"/>
    <xf numFmtId="221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192" fontId="164" fillId="0" borderId="0">
      <protection locked="0"/>
    </xf>
    <xf numFmtId="192" fontId="164" fillId="0" borderId="0">
      <protection locked="0"/>
    </xf>
    <xf numFmtId="0" fontId="32" fillId="91" borderId="0"/>
    <xf numFmtId="0" fontId="183" fillId="26" borderId="10"/>
    <xf numFmtId="178" fontId="196" fillId="0" borderId="0">
      <alignment horizontal="left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3" fontId="33" fillId="0" borderId="63" applyFont="0" applyFill="0" applyBorder="0" applyProtection="0">
      <alignment horizontal="center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0" borderId="0"/>
    <xf numFmtId="37" fontId="44" fillId="0" borderId="0"/>
    <xf numFmtId="37" fontId="44" fillId="0" borderId="0"/>
    <xf numFmtId="37" fontId="44" fillId="29" borderId="0" applyNumberFormat="0" applyBorder="0" applyAlignment="0" applyProtection="0"/>
    <xf numFmtId="0" fontId="197" fillId="0" borderId="0">
      <alignment vertical="top"/>
    </xf>
    <xf numFmtId="37" fontId="198" fillId="0" borderId="0">
      <protection locked="0"/>
    </xf>
    <xf numFmtId="193" fontId="63" fillId="0" borderId="0">
      <protection locked="0"/>
    </xf>
    <xf numFmtId="193" fontId="63" fillId="0" borderId="0">
      <protection locked="0"/>
    </xf>
    <xf numFmtId="194" fontId="63" fillId="0" borderId="0">
      <protection locked="0"/>
    </xf>
    <xf numFmtId="194" fontId="63" fillId="0" borderId="0">
      <protection locked="0"/>
    </xf>
    <xf numFmtId="189" fontId="146" fillId="0" borderId="0" applyFont="0" applyFill="0" applyBorder="0" applyAlignment="0" applyProtection="0"/>
    <xf numFmtId="189" fontId="146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50" fillId="0" borderId="0" applyFont="0" applyFill="0" applyBorder="0" applyAlignment="0" applyProtection="0"/>
    <xf numFmtId="3" fontId="32" fillId="0" borderId="0" applyFont="0" applyFill="0" applyBorder="0" applyAlignment="0" applyProtection="0"/>
    <xf numFmtId="2" fontId="71" fillId="0" borderId="0" applyFont="0" applyFill="0" applyBorder="0" applyAlignment="0" applyProtection="0"/>
    <xf numFmtId="235" fontId="118" fillId="0" borderId="0" applyFill="0"/>
    <xf numFmtId="0" fontId="199" fillId="0" borderId="0" applyNumberForma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1" fillId="0" borderId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202" fillId="0" borderId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5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2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204" fillId="0" borderId="0"/>
    <xf numFmtId="0" fontId="19" fillId="0" borderId="0"/>
    <xf numFmtId="0" fontId="113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7" fillId="0" borderId="0"/>
    <xf numFmtId="0" fontId="30" fillId="0" borderId="0"/>
    <xf numFmtId="0" fontId="16" fillId="0" borderId="0"/>
    <xf numFmtId="210" fontId="126" fillId="0" borderId="110" applyFont="0" applyFill="0" applyBorder="0" applyAlignment="0"/>
    <xf numFmtId="210" fontId="126" fillId="0" borderId="110" applyFont="0" applyFill="0" applyBorder="0" applyAlignment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40" fontId="65" fillId="23" borderId="110">
      <alignment vertical="center"/>
    </xf>
    <xf numFmtId="40" fontId="65" fillId="23" borderId="110">
      <alignment vertical="center"/>
    </xf>
    <xf numFmtId="43" fontId="32" fillId="0" borderId="0" applyFont="0" applyFill="0" applyBorder="0" applyAlignment="0" applyProtection="0">
      <alignment wrapText="1"/>
    </xf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29" borderId="0" applyNumberFormat="0" applyFont="0" applyBorder="0" applyAlignment="0" applyProtection="0"/>
    <xf numFmtId="0" fontId="81" fillId="0" borderId="112">
      <alignment horizontal="left" vertical="center"/>
    </xf>
    <xf numFmtId="0" fontId="81" fillId="0" borderId="112">
      <alignment horizontal="left" vertical="center"/>
    </xf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43" fontId="3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4" fontId="37" fillId="0" borderId="110" applyNumberFormat="0" applyProtection="0">
      <alignment horizontal="right" vertical="center"/>
    </xf>
    <xf numFmtId="4" fontId="37" fillId="0" borderId="110" applyNumberFormat="0" applyProtection="0">
      <alignment horizontal="right" vertical="center"/>
    </xf>
    <xf numFmtId="0" fontId="51" fillId="0" borderId="110" applyNumberFormat="0" applyProtection="0">
      <alignment horizontal="left" vertical="top" indent="1"/>
    </xf>
    <xf numFmtId="0" fontId="51" fillId="0" borderId="110" applyNumberFormat="0" applyProtection="0">
      <alignment horizontal="left" vertical="top" indent="1"/>
    </xf>
    <xf numFmtId="43" fontId="3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122" fillId="0" borderId="111" applyProtection="0">
      <alignment horizontal="centerContinuous"/>
    </xf>
    <xf numFmtId="0" fontId="122" fillId="0" borderId="111" applyProtection="0">
      <alignment horizontal="centerContinuous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0" fillId="0" borderId="0"/>
    <xf numFmtId="0" fontId="32" fillId="0" borderId="112" applyFont="0" applyFill="0" applyBorder="0" applyAlignment="0" applyProtection="0"/>
    <xf numFmtId="0" fontId="32" fillId="0" borderId="112" applyFont="0" applyFill="0" applyBorder="0" applyAlignment="0" applyProtection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/>
    <xf numFmtId="0" fontId="15" fillId="0" borderId="0"/>
    <xf numFmtId="43" fontId="15" fillId="0" borderId="0" applyFont="0" applyFill="0" applyBorder="0" applyAlignment="0" applyProtection="0"/>
    <xf numFmtId="0" fontId="14" fillId="0" borderId="0"/>
    <xf numFmtId="43" fontId="30" fillId="0" borderId="0" applyFont="0" applyFill="0" applyBorder="0" applyAlignment="0" applyProtection="0"/>
    <xf numFmtId="0" fontId="13" fillId="0" borderId="0"/>
    <xf numFmtId="0" fontId="12" fillId="0" borderId="0"/>
    <xf numFmtId="0" fontId="266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270" fillId="113" borderId="158" applyNumberFormat="0" applyAlignment="0" applyProtection="0"/>
    <xf numFmtId="9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00" fillId="0" borderId="0" applyNumberFormat="0" applyFill="0" applyBorder="0" applyAlignment="0" applyProtection="0"/>
    <xf numFmtId="0" fontId="301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2" fillId="0" borderId="0"/>
    <xf numFmtId="0" fontId="32" fillId="0" borderId="0"/>
    <xf numFmtId="168" fontId="32" fillId="0" borderId="0" applyFont="0" applyFill="0" applyBorder="0" applyAlignment="0" applyProtection="0"/>
    <xf numFmtId="0" fontId="1" fillId="0" borderId="0"/>
    <xf numFmtId="0" fontId="30" fillId="0" borderId="0"/>
    <xf numFmtId="43" fontId="30" fillId="0" borderId="0" applyFont="0" applyFill="0" applyBorder="0" applyAlignment="0" applyProtection="0"/>
    <xf numFmtId="0" fontId="32" fillId="0" borderId="0"/>
  </cellStyleXfs>
  <cellXfs count="1784">
    <xf numFmtId="0" fontId="0" fillId="0" borderId="0" xfId="0"/>
    <xf numFmtId="0" fontId="32" fillId="0" borderId="0" xfId="831"/>
    <xf numFmtId="0" fontId="32" fillId="33" borderId="0" xfId="831" applyFill="1"/>
    <xf numFmtId="0" fontId="31" fillId="33" borderId="0" xfId="801" applyFill="1" applyBorder="1" applyAlignment="1" applyProtection="1">
      <alignment horizontal="right"/>
    </xf>
    <xf numFmtId="14" fontId="32" fillId="0" borderId="0" xfId="831" applyNumberFormat="1"/>
    <xf numFmtId="0" fontId="35" fillId="33" borderId="0" xfId="831" applyFont="1" applyFill="1" applyAlignment="1">
      <alignment horizontal="left"/>
    </xf>
    <xf numFmtId="0" fontId="39" fillId="39" borderId="29" xfId="831" applyFont="1" applyFill="1" applyBorder="1" applyAlignment="1">
      <alignment horizontal="center" vertical="center"/>
    </xf>
    <xf numFmtId="14" fontId="109" fillId="0" borderId="0" xfId="831" applyNumberFormat="1" applyFont="1"/>
    <xf numFmtId="14" fontId="0" fillId="0" borderId="0" xfId="0" applyNumberFormat="1"/>
    <xf numFmtId="0" fontId="30" fillId="0" borderId="0" xfId="0" applyFont="1"/>
    <xf numFmtId="168" fontId="32" fillId="0" borderId="0" xfId="863" applyFont="1"/>
    <xf numFmtId="10" fontId="32" fillId="0" borderId="0" xfId="847" applyNumberFormat="1" applyFont="1"/>
    <xf numFmtId="0" fontId="0" fillId="41" borderId="0" xfId="0" applyFill="1"/>
    <xf numFmtId="0" fontId="43" fillId="0" borderId="0" xfId="0" applyFont="1" applyAlignment="1">
      <alignment vertical="center"/>
    </xf>
    <xf numFmtId="0" fontId="125" fillId="0" borderId="0" xfId="0" applyFont="1"/>
    <xf numFmtId="0" fontId="116" fillId="41" borderId="0" xfId="0" applyFont="1" applyFill="1"/>
    <xf numFmtId="0" fontId="30" fillId="0" borderId="0" xfId="1891" applyAlignment="1">
      <alignment vertical="top"/>
    </xf>
    <xf numFmtId="14" fontId="30" fillId="0" borderId="0" xfId="0" applyNumberFormat="1" applyFont="1"/>
    <xf numFmtId="0" fontId="30" fillId="0" borderId="0" xfId="2697"/>
    <xf numFmtId="10" fontId="43" fillId="41" borderId="0" xfId="847" applyNumberFormat="1" applyFont="1" applyFill="1" applyBorder="1"/>
    <xf numFmtId="10" fontId="43" fillId="0" borderId="0" xfId="847" applyNumberFormat="1" applyFont="1"/>
    <xf numFmtId="10" fontId="144" fillId="41" borderId="0" xfId="847" applyNumberFormat="1" applyFont="1" applyFill="1" applyBorder="1" applyAlignment="1">
      <alignment horizontal="center" vertical="center"/>
    </xf>
    <xf numFmtId="3" fontId="43" fillId="41" borderId="0" xfId="907" applyNumberFormat="1" applyFont="1" applyFill="1" applyAlignment="1">
      <alignment horizontal="center"/>
    </xf>
    <xf numFmtId="0" fontId="43" fillId="41" borderId="0" xfId="907" applyFont="1" applyFill="1"/>
    <xf numFmtId="4" fontId="43" fillId="41" borderId="0" xfId="907" applyNumberFormat="1" applyFont="1" applyFill="1"/>
    <xf numFmtId="10" fontId="43" fillId="41" borderId="0" xfId="907" applyNumberFormat="1" applyFont="1" applyFill="1"/>
    <xf numFmtId="167" fontId="43" fillId="41" borderId="0" xfId="907" applyNumberFormat="1" applyFont="1" applyFill="1"/>
    <xf numFmtId="167" fontId="137" fillId="41" borderId="0" xfId="1033" applyFont="1" applyFill="1" applyBorder="1"/>
    <xf numFmtId="167" fontId="43" fillId="41" borderId="0" xfId="815" applyFont="1" applyFill="1" applyBorder="1"/>
    <xf numFmtId="0" fontId="143" fillId="41" borderId="0" xfId="907" applyFont="1" applyFill="1"/>
    <xf numFmtId="0" fontId="110" fillId="41" borderId="0" xfId="907" applyFont="1" applyFill="1"/>
    <xf numFmtId="167" fontId="43" fillId="41" borderId="0" xfId="815" applyFont="1" applyFill="1" applyBorder="1" applyAlignment="1" applyProtection="1"/>
    <xf numFmtId="167" fontId="38" fillId="41" borderId="0" xfId="907" applyNumberFormat="1" applyFont="1" applyFill="1" applyProtection="1">
      <protection hidden="1"/>
    </xf>
    <xf numFmtId="167" fontId="38" fillId="41" borderId="0" xfId="907" applyNumberFormat="1" applyFont="1" applyFill="1" applyAlignment="1" applyProtection="1">
      <alignment horizontal="center"/>
      <protection hidden="1"/>
    </xf>
    <xf numFmtId="10" fontId="38" fillId="41" borderId="0" xfId="847" applyNumberFormat="1" applyFont="1" applyFill="1" applyBorder="1" applyAlignment="1" applyProtection="1">
      <alignment horizontal="center"/>
      <protection hidden="1"/>
    </xf>
    <xf numFmtId="0" fontId="43" fillId="41" borderId="0" xfId="43187" quotePrefix="1" applyFont="1" applyFill="1" applyAlignment="1">
      <alignment horizontal="left"/>
    </xf>
    <xf numFmtId="10" fontId="43" fillId="41" borderId="0" xfId="847" applyNumberFormat="1" applyFont="1" applyFill="1" applyBorder="1" applyAlignment="1" applyProtection="1">
      <alignment horizontal="center"/>
    </xf>
    <xf numFmtId="0" fontId="43" fillId="41" borderId="0" xfId="43187" applyFont="1" applyFill="1" applyAlignment="1">
      <alignment horizontal="left"/>
    </xf>
    <xf numFmtId="0" fontId="117" fillId="41" borderId="0" xfId="907" applyFont="1" applyFill="1" applyAlignment="1">
      <alignment horizontal="center"/>
    </xf>
    <xf numFmtId="167" fontId="143" fillId="41" borderId="0" xfId="815" applyFont="1" applyFill="1" applyBorder="1"/>
    <xf numFmtId="0" fontId="203" fillId="41" borderId="0" xfId="907" applyFont="1" applyFill="1"/>
    <xf numFmtId="10" fontId="203" fillId="41" borderId="0" xfId="847" applyNumberFormat="1" applyFont="1" applyFill="1" applyBorder="1" applyAlignment="1" applyProtection="1">
      <alignment horizontal="center"/>
      <protection hidden="1"/>
    </xf>
    <xf numFmtId="167" fontId="43" fillId="41" borderId="0" xfId="815" applyFont="1" applyFill="1" applyBorder="1" applyAlignment="1">
      <alignment horizontal="left"/>
    </xf>
    <xf numFmtId="10" fontId="110" fillId="41" borderId="0" xfId="847" applyNumberFormat="1" applyFont="1" applyFill="1" applyBorder="1" applyAlignment="1">
      <alignment horizontal="center"/>
    </xf>
    <xf numFmtId="0" fontId="43" fillId="41" borderId="0" xfId="43187" applyFont="1" applyFill="1"/>
    <xf numFmtId="10" fontId="43" fillId="41" borderId="0" xfId="847" applyNumberFormat="1" applyFont="1" applyFill="1" applyBorder="1" applyAlignment="1">
      <alignment horizontal="right"/>
    </xf>
    <xf numFmtId="167" fontId="43" fillId="41" borderId="0" xfId="815" applyFont="1" applyFill="1" applyBorder="1" applyAlignment="1">
      <alignment horizontal="left" indent="1"/>
    </xf>
    <xf numFmtId="0" fontId="43" fillId="33" borderId="0" xfId="776" applyFont="1" applyFill="1" applyAlignment="1">
      <alignment wrapText="1"/>
    </xf>
    <xf numFmtId="10" fontId="43" fillId="33" borderId="0" xfId="847" applyNumberFormat="1" applyFont="1" applyFill="1" applyBorder="1" applyAlignment="1">
      <alignment horizontal="center" wrapText="1"/>
    </xf>
    <xf numFmtId="0" fontId="43" fillId="0" borderId="0" xfId="907" applyFont="1"/>
    <xf numFmtId="0" fontId="110" fillId="0" borderId="0" xfId="907" applyFont="1" applyAlignment="1">
      <alignment horizontal="center"/>
    </xf>
    <xf numFmtId="9" fontId="38" fillId="0" borderId="0" xfId="1823" applyFont="1" applyFill="1" applyBorder="1" applyAlignment="1">
      <alignment horizontal="center" vertical="center" wrapText="1"/>
    </xf>
    <xf numFmtId="9" fontId="43" fillId="41" borderId="0" xfId="1823" applyFont="1" applyFill="1" applyBorder="1" applyAlignment="1">
      <alignment horizontal="left" vertical="center" wrapText="1"/>
    </xf>
    <xf numFmtId="37" fontId="43" fillId="41" borderId="0" xfId="905" applyNumberFormat="1" applyFont="1" applyFill="1" applyAlignment="1">
      <alignment horizontal="left"/>
    </xf>
    <xf numFmtId="167" fontId="110" fillId="41" borderId="0" xfId="815" applyFont="1" applyFill="1" applyBorder="1"/>
    <xf numFmtId="217" fontId="43" fillId="33" borderId="0" xfId="1095" applyNumberFormat="1" applyFont="1" applyFill="1" applyBorder="1" applyAlignment="1">
      <alignment horizontal="center"/>
    </xf>
    <xf numFmtId="167" fontId="43" fillId="33" borderId="0" xfId="815" applyFont="1" applyFill="1" applyBorder="1"/>
    <xf numFmtId="217" fontId="43" fillId="33" borderId="0" xfId="1718" applyNumberFormat="1" applyFont="1" applyFill="1" applyBorder="1" applyAlignment="1">
      <alignment horizontal="center"/>
    </xf>
    <xf numFmtId="10" fontId="43" fillId="33" borderId="0" xfId="1718" applyNumberFormat="1" applyFont="1" applyFill="1" applyBorder="1" applyAlignment="1">
      <alignment horizontal="center"/>
    </xf>
    <xf numFmtId="0" fontId="43" fillId="0" borderId="0" xfId="2544" applyFont="1"/>
    <xf numFmtId="167" fontId="38" fillId="38" borderId="0" xfId="815" applyFont="1" applyFill="1" applyBorder="1" applyAlignment="1">
      <alignment horizontal="center" vertical="center" wrapText="1"/>
    </xf>
    <xf numFmtId="0" fontId="43" fillId="0" borderId="0" xfId="776" applyFont="1" applyAlignment="1">
      <alignment wrapText="1"/>
    </xf>
    <xf numFmtId="217" fontId="43" fillId="0" borderId="0" xfId="1718" applyNumberFormat="1" applyFont="1" applyFill="1" applyBorder="1" applyAlignment="1">
      <alignment horizontal="center"/>
    </xf>
    <xf numFmtId="0" fontId="31" fillId="0" borderId="0" xfId="801" applyAlignment="1" applyProtection="1"/>
    <xf numFmtId="0" fontId="31" fillId="0" borderId="0" xfId="801" quotePrefix="1" applyAlignment="1" applyProtection="1"/>
    <xf numFmtId="0" fontId="43" fillId="0" borderId="0" xfId="2697" applyFont="1" applyAlignment="1">
      <alignment vertical="center"/>
    </xf>
    <xf numFmtId="172" fontId="32" fillId="0" borderId="0" xfId="863" applyNumberFormat="1" applyFont="1"/>
    <xf numFmtId="255" fontId="32" fillId="0" borderId="0" xfId="863" applyNumberFormat="1" applyFont="1"/>
    <xf numFmtId="0" fontId="205" fillId="0" borderId="0" xfId="0" applyFont="1"/>
    <xf numFmtId="168" fontId="205" fillId="0" borderId="0" xfId="863" applyFont="1"/>
    <xf numFmtId="0" fontId="205" fillId="33" borderId="0" xfId="829" applyFont="1" applyFill="1"/>
    <xf numFmtId="0" fontId="208" fillId="0" borderId="0" xfId="0" applyFont="1"/>
    <xf numFmtId="0" fontId="205" fillId="41" borderId="0" xfId="0" applyFont="1" applyFill="1"/>
    <xf numFmtId="0" fontId="209" fillId="0" borderId="0" xfId="0" applyFont="1" applyAlignment="1">
      <alignment horizontal="center"/>
    </xf>
    <xf numFmtId="0" fontId="209" fillId="0" borderId="0" xfId="0" applyFont="1"/>
    <xf numFmtId="0" fontId="211" fillId="0" borderId="0" xfId="0" applyFont="1" applyAlignment="1">
      <alignment horizontal="right" vertical="center"/>
    </xf>
    <xf numFmtId="0" fontId="205" fillId="60" borderId="0" xfId="0" applyFont="1" applyFill="1" applyAlignment="1" applyProtection="1">
      <alignment horizontal="left" wrapText="1"/>
      <protection hidden="1"/>
    </xf>
    <xf numFmtId="167" fontId="205" fillId="0" borderId="0" xfId="815" applyFont="1" applyBorder="1"/>
    <xf numFmtId="0" fontId="205" fillId="0" borderId="0" xfId="0" applyFont="1" applyAlignment="1">
      <alignment horizontal="left" indent="1"/>
    </xf>
    <xf numFmtId="10" fontId="205" fillId="0" borderId="0" xfId="847" applyNumberFormat="1" applyFont="1"/>
    <xf numFmtId="167" fontId="205" fillId="0" borderId="0" xfId="815" applyFont="1" applyFill="1" applyBorder="1"/>
    <xf numFmtId="0" fontId="205" fillId="0" borderId="0" xfId="907" applyFont="1" applyAlignment="1">
      <alignment horizontal="left" indent="1"/>
    </xf>
    <xf numFmtId="37" fontId="205" fillId="0" borderId="0" xfId="0" applyNumberFormat="1" applyFont="1"/>
    <xf numFmtId="37" fontId="205" fillId="0" borderId="0" xfId="0" applyNumberFormat="1" applyFont="1" applyAlignment="1">
      <alignment horizontal="left"/>
    </xf>
    <xf numFmtId="0" fontId="206" fillId="33" borderId="0" xfId="829" applyFont="1" applyFill="1" applyAlignment="1">
      <alignment vertical="top"/>
    </xf>
    <xf numFmtId="10" fontId="211" fillId="0" borderId="0" xfId="0" applyNumberFormat="1" applyFont="1" applyAlignment="1">
      <alignment horizontal="right" vertical="top"/>
    </xf>
    <xf numFmtId="174" fontId="211" fillId="0" borderId="0" xfId="0" applyNumberFormat="1" applyFont="1" applyAlignment="1">
      <alignment horizontal="right"/>
    </xf>
    <xf numFmtId="10" fontId="211" fillId="0" borderId="0" xfId="0" applyNumberFormat="1" applyFont="1" applyAlignment="1">
      <alignment horizontal="right"/>
    </xf>
    <xf numFmtId="168" fontId="205" fillId="45" borderId="0" xfId="863" applyFont="1" applyFill="1" applyBorder="1"/>
    <xf numFmtId="168" fontId="205" fillId="41" borderId="0" xfId="863" applyFont="1" applyFill="1" applyBorder="1"/>
    <xf numFmtId="168" fontId="205" fillId="41" borderId="0" xfId="863" applyFont="1" applyFill="1" applyBorder="1" applyAlignment="1">
      <alignment horizontal="center"/>
    </xf>
    <xf numFmtId="0" fontId="209" fillId="41" borderId="0" xfId="0" applyFont="1" applyFill="1"/>
    <xf numFmtId="0" fontId="205" fillId="41" borderId="0" xfId="0" applyFont="1" applyFill="1" applyAlignment="1">
      <alignment horizontal="center"/>
    </xf>
    <xf numFmtId="168" fontId="205" fillId="0" borderId="0" xfId="0" applyNumberFormat="1" applyFont="1"/>
    <xf numFmtId="0" fontId="205" fillId="41" borderId="0" xfId="0" applyFont="1" applyFill="1" applyAlignment="1" applyProtection="1">
      <alignment horizontal="left"/>
      <protection hidden="1"/>
    </xf>
    <xf numFmtId="0" fontId="205" fillId="0" borderId="0" xfId="2697" applyFont="1"/>
    <xf numFmtId="0" fontId="214" fillId="0" borderId="0" xfId="801" applyFont="1" applyAlignment="1" applyProtection="1"/>
    <xf numFmtId="0" fontId="205" fillId="41" borderId="0" xfId="2697" applyFont="1" applyFill="1"/>
    <xf numFmtId="0" fontId="205" fillId="33" borderId="0" xfId="2697" applyFont="1" applyFill="1"/>
    <xf numFmtId="168" fontId="205" fillId="41" borderId="0" xfId="43185" applyNumberFormat="1" applyFont="1" applyFill="1" applyBorder="1" applyAlignment="1" applyProtection="1">
      <alignment horizontal="right"/>
      <protection locked="0"/>
    </xf>
    <xf numFmtId="167" fontId="205" fillId="41" borderId="29" xfId="815" applyFont="1" applyFill="1" applyBorder="1"/>
    <xf numFmtId="0" fontId="205" fillId="0" borderId="0" xfId="907" applyFont="1"/>
    <xf numFmtId="0" fontId="208" fillId="58" borderId="20" xfId="834" applyFont="1" applyFill="1" applyBorder="1" applyAlignment="1" applyProtection="1">
      <alignment horizontal="left" vertical="center"/>
    </xf>
    <xf numFmtId="0" fontId="208" fillId="58" borderId="29" xfId="834" applyFont="1" applyFill="1" applyBorder="1" applyAlignment="1" applyProtection="1">
      <alignment horizontal="left" vertical="center"/>
    </xf>
    <xf numFmtId="165" fontId="205" fillId="0" borderId="0" xfId="43184" applyFont="1" applyBorder="1"/>
    <xf numFmtId="43" fontId="205" fillId="0" borderId="0" xfId="2697" applyNumberFormat="1" applyFont="1"/>
    <xf numFmtId="165" fontId="205" fillId="0" borderId="0" xfId="2697" applyNumberFormat="1" applyFont="1"/>
    <xf numFmtId="165" fontId="209" fillId="0" borderId="0" xfId="2697" applyNumberFormat="1" applyFont="1"/>
    <xf numFmtId="167" fontId="205" fillId="0" borderId="0" xfId="815" applyFont="1"/>
    <xf numFmtId="167" fontId="205" fillId="0" borderId="0" xfId="815" applyFont="1" applyAlignment="1">
      <alignment horizontal="right"/>
    </xf>
    <xf numFmtId="10" fontId="205" fillId="0" borderId="0" xfId="847" applyNumberFormat="1" applyFont="1" applyAlignment="1">
      <alignment horizontal="right"/>
    </xf>
    <xf numFmtId="167" fontId="205" fillId="0" borderId="0" xfId="2697" applyNumberFormat="1" applyFont="1"/>
    <xf numFmtId="0" fontId="208" fillId="0" borderId="0" xfId="907" applyFont="1" applyAlignment="1">
      <alignment horizontal="left"/>
    </xf>
    <xf numFmtId="0" fontId="205" fillId="41" borderId="0" xfId="834" applyFont="1" applyFill="1" applyAlignment="1" applyProtection="1">
      <alignment horizontal="left" vertical="center" indent="2"/>
    </xf>
    <xf numFmtId="165" fontId="205" fillId="41" borderId="0" xfId="43184" applyFont="1" applyFill="1" applyBorder="1" applyAlignment="1" applyProtection="1">
      <alignment horizontal="right"/>
      <protection locked="0"/>
    </xf>
    <xf numFmtId="0" fontId="215" fillId="41" borderId="0" xfId="834" applyFont="1" applyFill="1" applyAlignment="1" applyProtection="1">
      <alignment horizontal="left" vertical="center" indent="1"/>
    </xf>
    <xf numFmtId="167" fontId="205" fillId="41" borderId="0" xfId="815" applyFont="1" applyFill="1" applyBorder="1"/>
    <xf numFmtId="10" fontId="205" fillId="0" borderId="0" xfId="847" applyNumberFormat="1" applyFont="1" applyFill="1" applyBorder="1"/>
    <xf numFmtId="0" fontId="205" fillId="97" borderId="0" xfId="0" applyFont="1" applyFill="1" applyAlignment="1" applyProtection="1">
      <alignment horizontal="left"/>
      <protection hidden="1"/>
    </xf>
    <xf numFmtId="14" fontId="205" fillId="0" borderId="0" xfId="2697" applyNumberFormat="1" applyFont="1" applyAlignment="1">
      <alignment horizontal="left"/>
    </xf>
    <xf numFmtId="165" fontId="205" fillId="45" borderId="0" xfId="863" applyNumberFormat="1" applyFont="1" applyFill="1" applyBorder="1"/>
    <xf numFmtId="0" fontId="206" fillId="33" borderId="0" xfId="829" applyFont="1" applyFill="1" applyAlignment="1">
      <alignment horizontal="right" vertical="top"/>
    </xf>
    <xf numFmtId="10" fontId="211" fillId="0" borderId="0" xfId="0" applyNumberFormat="1" applyFont="1" applyAlignment="1">
      <alignment horizontal="left" vertical="top"/>
    </xf>
    <xf numFmtId="43" fontId="205" fillId="41" borderId="0" xfId="863" applyNumberFormat="1" applyFont="1" applyFill="1" applyBorder="1" applyAlignment="1">
      <alignment horizontal="right"/>
    </xf>
    <xf numFmtId="0" fontId="205" fillId="0" borderId="0" xfId="0" applyFont="1" applyAlignment="1">
      <alignment horizontal="right"/>
    </xf>
    <xf numFmtId="0" fontId="219" fillId="0" borderId="0" xfId="0" applyFont="1"/>
    <xf numFmtId="9" fontId="207" fillId="0" borderId="0" xfId="847" applyFont="1" applyFill="1" applyBorder="1" applyAlignment="1">
      <alignment horizontal="right"/>
    </xf>
    <xf numFmtId="0" fontId="219" fillId="41" borderId="0" xfId="0" applyFont="1" applyFill="1"/>
    <xf numFmtId="43" fontId="205" fillId="41" borderId="0" xfId="0" applyNumberFormat="1" applyFont="1" applyFill="1" applyAlignment="1">
      <alignment horizontal="center"/>
    </xf>
    <xf numFmtId="10" fontId="205" fillId="41" borderId="0" xfId="847" applyNumberFormat="1" applyFont="1" applyFill="1" applyAlignment="1">
      <alignment horizontal="center"/>
    </xf>
    <xf numFmtId="0" fontId="208" fillId="0" borderId="0" xfId="907" applyFont="1"/>
    <xf numFmtId="170" fontId="205" fillId="0" borderId="0" xfId="863" applyNumberFormat="1" applyFont="1" applyBorder="1"/>
    <xf numFmtId="43" fontId="205" fillId="57" borderId="0" xfId="863" applyNumberFormat="1" applyFont="1" applyFill="1" applyBorder="1"/>
    <xf numFmtId="167" fontId="205" fillId="0" borderId="29" xfId="815" applyFont="1" applyBorder="1"/>
    <xf numFmtId="2" fontId="208" fillId="0" borderId="0" xfId="0" applyNumberFormat="1" applyFont="1"/>
    <xf numFmtId="9" fontId="205" fillId="41" borderId="0" xfId="847" applyFont="1" applyFill="1"/>
    <xf numFmtId="256" fontId="208" fillId="0" borderId="0" xfId="907" applyNumberFormat="1" applyFont="1"/>
    <xf numFmtId="168" fontId="219" fillId="0" borderId="0" xfId="0" applyNumberFormat="1" applyFont="1"/>
    <xf numFmtId="0" fontId="208" fillId="33" borderId="0" xfId="829" applyFont="1" applyFill="1" applyAlignment="1">
      <alignment horizontal="left" vertical="top"/>
    </xf>
    <xf numFmtId="0" fontId="208" fillId="0" borderId="0" xfId="0" applyFont="1" applyAlignment="1">
      <alignment horizontal="left" indent="1"/>
    </xf>
    <xf numFmtId="0" fontId="211" fillId="41" borderId="0" xfId="0" applyFont="1" applyFill="1" applyAlignment="1">
      <alignment horizontal="right" vertical="center"/>
    </xf>
    <xf numFmtId="168" fontId="205" fillId="0" borderId="0" xfId="863" applyFont="1" applyBorder="1"/>
    <xf numFmtId="43" fontId="205" fillId="0" borderId="0" xfId="0" applyNumberFormat="1" applyFont="1"/>
    <xf numFmtId="165" fontId="205" fillId="0" borderId="0" xfId="0" applyNumberFormat="1" applyFont="1"/>
    <xf numFmtId="167" fontId="205" fillId="0" borderId="0" xfId="0" applyNumberFormat="1" applyFont="1"/>
    <xf numFmtId="0" fontId="205" fillId="0" borderId="0" xfId="907" applyFont="1" applyAlignment="1">
      <alignment horizontal="left" indent="2"/>
    </xf>
    <xf numFmtId="219" fontId="218" fillId="41" borderId="0" xfId="863" applyNumberFormat="1" applyFont="1" applyFill="1" applyBorder="1"/>
    <xf numFmtId="0" fontId="210" fillId="43" borderId="0" xfId="0" applyFont="1" applyFill="1"/>
    <xf numFmtId="10" fontId="211" fillId="0" borderId="0" xfId="0" applyNumberFormat="1" applyFont="1" applyAlignment="1">
      <alignment horizontal="center" vertical="top"/>
    </xf>
    <xf numFmtId="168" fontId="205" fillId="45" borderId="0" xfId="863" applyFont="1" applyFill="1" applyBorder="1" applyAlignment="1"/>
    <xf numFmtId="10" fontId="205" fillId="41" borderId="0" xfId="847" applyNumberFormat="1" applyFont="1" applyFill="1" applyBorder="1" applyAlignment="1">
      <alignment horizontal="center"/>
    </xf>
    <xf numFmtId="0" fontId="205" fillId="33" borderId="0" xfId="831" applyFont="1" applyFill="1" applyAlignment="1">
      <alignment vertical="center"/>
    </xf>
    <xf numFmtId="10" fontId="211" fillId="0" borderId="0" xfId="2697" applyNumberFormat="1" applyFont="1" applyAlignment="1">
      <alignment horizontal="right" vertical="top"/>
    </xf>
    <xf numFmtId="0" fontId="206" fillId="33" borderId="0" xfId="831" applyFont="1" applyFill="1" applyAlignment="1">
      <alignment horizontal="left" vertical="center"/>
    </xf>
    <xf numFmtId="170" fontId="205" fillId="33" borderId="0" xfId="863" applyNumberFormat="1" applyFont="1" applyFill="1" applyAlignment="1">
      <alignment vertical="center"/>
    </xf>
    <xf numFmtId="170" fontId="205" fillId="33" borderId="0" xfId="863" applyNumberFormat="1" applyFont="1" applyFill="1" applyBorder="1" applyAlignment="1">
      <alignment vertical="center"/>
    </xf>
    <xf numFmtId="0" fontId="223" fillId="33" borderId="0" xfId="831" applyFont="1" applyFill="1" applyAlignment="1">
      <alignment horizontal="left" vertical="center"/>
    </xf>
    <xf numFmtId="0" fontId="205" fillId="33" borderId="0" xfId="831" applyFont="1" applyFill="1" applyAlignment="1">
      <alignment vertical="center" wrapText="1"/>
    </xf>
    <xf numFmtId="0" fontId="205" fillId="0" borderId="0" xfId="831" applyFont="1" applyAlignment="1">
      <alignment vertical="center"/>
    </xf>
    <xf numFmtId="176" fontId="205" fillId="0" borderId="0" xfId="863" applyNumberFormat="1" applyFont="1" applyFill="1" applyBorder="1" applyAlignment="1">
      <alignment vertical="center"/>
    </xf>
    <xf numFmtId="168" fontId="208" fillId="33" borderId="0" xfId="831" applyNumberFormat="1" applyFont="1" applyFill="1" applyAlignment="1">
      <alignment vertical="center"/>
    </xf>
    <xf numFmtId="170" fontId="208" fillId="33" borderId="0" xfId="863" applyNumberFormat="1" applyFont="1" applyFill="1" applyBorder="1" applyAlignment="1">
      <alignment vertical="center"/>
    </xf>
    <xf numFmtId="168" fontId="208" fillId="33" borderId="0" xfId="863" applyFont="1" applyFill="1" applyBorder="1" applyAlignment="1">
      <alignment vertical="center"/>
    </xf>
    <xf numFmtId="176" fontId="205" fillId="33" borderId="0" xfId="831" applyNumberFormat="1" applyFont="1" applyFill="1" applyAlignment="1">
      <alignment vertical="center"/>
    </xf>
    <xf numFmtId="0" fontId="223" fillId="0" borderId="0" xfId="831" applyFont="1" applyAlignment="1">
      <alignment horizontal="left" vertical="center"/>
    </xf>
    <xf numFmtId="0" fontId="208" fillId="0" borderId="0" xfId="831" applyFont="1" applyAlignment="1">
      <alignment horizontal="center" vertical="center"/>
    </xf>
    <xf numFmtId="4" fontId="208" fillId="0" borderId="0" xfId="831" applyNumberFormat="1" applyFont="1" applyAlignment="1">
      <alignment horizontal="right" vertical="center"/>
    </xf>
    <xf numFmtId="0" fontId="205" fillId="41" borderId="0" xfId="831" applyFont="1" applyFill="1" applyAlignment="1">
      <alignment vertical="center"/>
    </xf>
    <xf numFmtId="170" fontId="205" fillId="41" borderId="0" xfId="863" applyNumberFormat="1" applyFont="1" applyFill="1" applyBorder="1" applyAlignment="1">
      <alignment vertical="center"/>
    </xf>
    <xf numFmtId="0" fontId="205" fillId="61" borderId="0" xfId="831" applyFont="1" applyFill="1" applyAlignment="1">
      <alignment vertical="center"/>
    </xf>
    <xf numFmtId="0" fontId="224" fillId="95" borderId="113" xfId="2697" applyFont="1" applyFill="1" applyBorder="1" applyAlignment="1">
      <alignment vertical="top"/>
    </xf>
    <xf numFmtId="0" fontId="224" fillId="95" borderId="114" xfId="2697" applyFont="1" applyFill="1" applyBorder="1" applyAlignment="1">
      <alignment horizontal="right" vertical="top"/>
    </xf>
    <xf numFmtId="0" fontId="224" fillId="95" borderId="115" xfId="2697" applyFont="1" applyFill="1" applyBorder="1" applyAlignment="1">
      <alignment vertical="top"/>
    </xf>
    <xf numFmtId="0" fontId="224" fillId="95" borderId="116" xfId="2697" applyFont="1" applyFill="1" applyBorder="1" applyAlignment="1">
      <alignment vertical="top"/>
    </xf>
    <xf numFmtId="0" fontId="224" fillId="95" borderId="117" xfId="2697" applyFont="1" applyFill="1" applyBorder="1" applyAlignment="1">
      <alignment horizontal="right" vertical="top"/>
    </xf>
    <xf numFmtId="0" fontId="224" fillId="95" borderId="118" xfId="2697" applyFont="1" applyFill="1" applyBorder="1" applyAlignment="1">
      <alignment vertical="top"/>
    </xf>
    <xf numFmtId="0" fontId="208" fillId="41" borderId="0" xfId="2697" applyFont="1" applyFill="1"/>
    <xf numFmtId="2" fontId="205" fillId="41" borderId="0" xfId="0" applyNumberFormat="1" applyFont="1" applyFill="1"/>
    <xf numFmtId="170" fontId="205" fillId="41" borderId="0" xfId="863" applyNumberFormat="1" applyFont="1" applyFill="1" applyBorder="1"/>
    <xf numFmtId="0" fontId="205" fillId="41" borderId="0" xfId="0" applyFont="1" applyFill="1" applyAlignment="1">
      <alignment vertical="center"/>
    </xf>
    <xf numFmtId="168" fontId="208" fillId="41" borderId="0" xfId="863" applyFont="1" applyFill="1" applyBorder="1"/>
    <xf numFmtId="168" fontId="205" fillId="33" borderId="0" xfId="863" applyFont="1" applyFill="1" applyBorder="1" applyAlignment="1" applyProtection="1">
      <alignment horizontal="center" vertical="center"/>
      <protection locked="0"/>
    </xf>
    <xf numFmtId="0" fontId="205" fillId="0" borderId="0" xfId="831" applyFont="1"/>
    <xf numFmtId="170" fontId="225" fillId="0" borderId="0" xfId="863" applyNumberFormat="1" applyFont="1" applyAlignment="1">
      <alignment horizontal="right"/>
    </xf>
    <xf numFmtId="0" fontId="224" fillId="95" borderId="0" xfId="2697" applyFont="1" applyFill="1" applyAlignment="1">
      <alignment vertical="top"/>
    </xf>
    <xf numFmtId="0" fontId="224" fillId="95" borderId="0" xfId="2697" applyFont="1" applyFill="1" applyAlignment="1">
      <alignment horizontal="right" vertical="top"/>
    </xf>
    <xf numFmtId="0" fontId="224" fillId="95" borderId="119" xfId="2697" applyFont="1" applyFill="1" applyBorder="1" applyAlignment="1">
      <alignment vertical="top"/>
    </xf>
    <xf numFmtId="0" fontId="224" fillId="95" borderId="120" xfId="2697" applyFont="1" applyFill="1" applyBorder="1" applyAlignment="1">
      <alignment horizontal="right" vertical="top"/>
    </xf>
    <xf numFmtId="0" fontId="224" fillId="95" borderId="121" xfId="2697" applyFont="1" applyFill="1" applyBorder="1" applyAlignment="1">
      <alignment vertical="top"/>
    </xf>
    <xf numFmtId="14" fontId="205" fillId="33" borderId="0" xfId="831" applyNumberFormat="1" applyFont="1" applyFill="1" applyAlignment="1">
      <alignment vertical="center"/>
    </xf>
    <xf numFmtId="168" fontId="208" fillId="33" borderId="0" xfId="863" applyFont="1" applyFill="1" applyBorder="1" applyAlignment="1">
      <alignment horizontal="center" vertical="center"/>
    </xf>
    <xf numFmtId="4" fontId="205" fillId="33" borderId="0" xfId="831" applyNumberFormat="1" applyFont="1" applyFill="1" applyAlignment="1">
      <alignment horizontal="center" vertical="center"/>
    </xf>
    <xf numFmtId="4" fontId="205" fillId="46" borderId="0" xfId="831" applyNumberFormat="1" applyFont="1" applyFill="1" applyAlignment="1">
      <alignment horizontal="center" vertical="center"/>
    </xf>
    <xf numFmtId="168" fontId="208" fillId="54" borderId="0" xfId="903" applyFont="1" applyFill="1" applyBorder="1" applyAlignment="1">
      <alignment horizontal="right"/>
    </xf>
    <xf numFmtId="168" fontId="208" fillId="54" borderId="0" xfId="903" applyFont="1" applyFill="1" applyBorder="1" applyAlignment="1">
      <alignment horizontal="left" vertical="top" wrapText="1"/>
    </xf>
    <xf numFmtId="0" fontId="214" fillId="0" borderId="0" xfId="801" applyFont="1" applyFill="1" applyBorder="1" applyAlignment="1" applyProtection="1">
      <alignment horizontal="right" vertical="center"/>
    </xf>
    <xf numFmtId="0" fontId="214" fillId="33" borderId="0" xfId="801" applyFont="1" applyFill="1" applyBorder="1" applyAlignment="1" applyProtection="1">
      <alignment horizontal="right" vertical="center"/>
    </xf>
    <xf numFmtId="0" fontId="205" fillId="33" borderId="0" xfId="0" applyFont="1" applyFill="1" applyAlignment="1">
      <alignment vertical="center"/>
    </xf>
    <xf numFmtId="14" fontId="205" fillId="0" borderId="0" xfId="0" applyNumberFormat="1" applyFont="1"/>
    <xf numFmtId="0" fontId="205" fillId="0" borderId="20" xfId="0" applyFont="1" applyBorder="1"/>
    <xf numFmtId="167" fontId="205" fillId="0" borderId="0" xfId="815" applyFont="1" applyFill="1"/>
    <xf numFmtId="168" fontId="205" fillId="54" borderId="0" xfId="903" applyFont="1" applyFill="1" applyBorder="1" applyAlignment="1">
      <alignment horizontal="left" vertical="top"/>
    </xf>
    <xf numFmtId="215" fontId="205" fillId="54" borderId="0" xfId="903" applyNumberFormat="1" applyFont="1" applyFill="1" applyBorder="1" applyAlignment="1">
      <alignment horizontal="right"/>
    </xf>
    <xf numFmtId="168" fontId="205" fillId="41" borderId="0" xfId="903" applyFont="1" applyFill="1" applyBorder="1" applyAlignment="1">
      <alignment horizontal="left" vertical="top" wrapText="1"/>
    </xf>
    <xf numFmtId="167" fontId="205" fillId="0" borderId="0" xfId="815" applyFont="1" applyFill="1" applyBorder="1" applyAlignment="1">
      <alignment horizontal="right"/>
    </xf>
    <xf numFmtId="167" fontId="205" fillId="41" borderId="0" xfId="815" applyFont="1" applyFill="1" applyBorder="1" applyAlignment="1">
      <alignment horizontal="right"/>
    </xf>
    <xf numFmtId="0" fontId="205" fillId="0" borderId="0" xfId="832" applyFont="1"/>
    <xf numFmtId="0" fontId="206" fillId="33" borderId="0" xfId="0" applyFont="1" applyFill="1" applyAlignment="1">
      <alignment horizontal="left"/>
    </xf>
    <xf numFmtId="167" fontId="205" fillId="0" borderId="0" xfId="815" applyFont="1" applyAlignment="1">
      <alignment vertical="center"/>
    </xf>
    <xf numFmtId="167" fontId="205" fillId="41" borderId="20" xfId="815" applyFont="1" applyFill="1" applyBorder="1"/>
    <xf numFmtId="197" fontId="205" fillId="0" borderId="0" xfId="0" applyNumberFormat="1" applyFont="1"/>
    <xf numFmtId="0" fontId="211" fillId="33" borderId="0" xfId="0" applyFont="1" applyFill="1" applyAlignment="1">
      <alignment horizontal="right"/>
    </xf>
    <xf numFmtId="9" fontId="205" fillId="0" borderId="0" xfId="847" applyFont="1"/>
    <xf numFmtId="0" fontId="205" fillId="33" borderId="0" xfId="0" applyFont="1" applyFill="1"/>
    <xf numFmtId="0" fontId="205" fillId="33" borderId="20" xfId="789" applyFont="1" applyFill="1" applyBorder="1"/>
    <xf numFmtId="0" fontId="205" fillId="33" borderId="29" xfId="789" applyFont="1" applyFill="1" applyBorder="1"/>
    <xf numFmtId="10" fontId="205" fillId="33" borderId="29" xfId="847" applyNumberFormat="1" applyFont="1" applyFill="1" applyBorder="1"/>
    <xf numFmtId="17" fontId="205" fillId="0" borderId="29" xfId="0" applyNumberFormat="1" applyFont="1" applyBorder="1"/>
    <xf numFmtId="0" fontId="211" fillId="0" borderId="0" xfId="0" applyFont="1" applyAlignment="1">
      <alignment horizontal="right"/>
    </xf>
    <xf numFmtId="168" fontId="205" fillId="41" borderId="0" xfId="863" applyFont="1" applyFill="1"/>
    <xf numFmtId="168" fontId="205" fillId="41" borderId="0" xfId="863" applyFont="1" applyFill="1" applyAlignment="1">
      <alignment vertical="center"/>
    </xf>
    <xf numFmtId="167" fontId="205" fillId="41" borderId="0" xfId="815" applyFont="1" applyFill="1"/>
    <xf numFmtId="43" fontId="205" fillId="41" borderId="0" xfId="0" applyNumberFormat="1" applyFont="1" applyFill="1"/>
    <xf numFmtId="10" fontId="205" fillId="0" borderId="20" xfId="847" applyNumberFormat="1" applyFont="1" applyBorder="1" applyAlignment="1">
      <alignment horizontal="right"/>
    </xf>
    <xf numFmtId="10" fontId="205" fillId="0" borderId="20" xfId="847" applyNumberFormat="1" applyFont="1" applyFill="1" applyBorder="1" applyAlignment="1">
      <alignment horizontal="right"/>
    </xf>
    <xf numFmtId="167" fontId="205" fillId="0" borderId="20" xfId="815" applyFont="1" applyBorder="1"/>
    <xf numFmtId="167" fontId="205" fillId="0" borderId="20" xfId="815" applyFont="1" applyFill="1" applyBorder="1"/>
    <xf numFmtId="167" fontId="205" fillId="0" borderId="29" xfId="815" applyFont="1" applyFill="1" applyBorder="1"/>
    <xf numFmtId="0" fontId="208" fillId="0" borderId="0" xfId="2697" applyFont="1"/>
    <xf numFmtId="0" fontId="229" fillId="0" borderId="0" xfId="2697" applyFont="1"/>
    <xf numFmtId="10" fontId="43" fillId="41" borderId="0" xfId="847" applyNumberFormat="1" applyFont="1" applyFill="1" applyBorder="1" applyAlignment="1">
      <alignment horizontal="center"/>
    </xf>
    <xf numFmtId="0" fontId="38" fillId="55" borderId="0" xfId="834" applyFont="1" applyFill="1" applyAlignment="1" applyProtection="1">
      <alignment horizontal="center" vertical="center"/>
    </xf>
    <xf numFmtId="0" fontId="205" fillId="46" borderId="0" xfId="2697" applyFont="1" applyFill="1"/>
    <xf numFmtId="165" fontId="205" fillId="46" borderId="0" xfId="2697" applyNumberFormat="1" applyFont="1" applyFill="1"/>
    <xf numFmtId="168" fontId="0" fillId="0" borderId="0" xfId="863" applyFont="1"/>
    <xf numFmtId="168" fontId="30" fillId="0" borderId="0" xfId="863" applyFont="1"/>
    <xf numFmtId="168" fontId="231" fillId="0" borderId="0" xfId="863" applyFont="1"/>
    <xf numFmtId="0" fontId="232" fillId="0" borderId="122" xfId="0" applyFont="1" applyBorder="1"/>
    <xf numFmtId="168" fontId="232" fillId="0" borderId="122" xfId="863" applyFont="1" applyBorder="1"/>
    <xf numFmtId="14" fontId="232" fillId="0" borderId="122" xfId="0" applyNumberFormat="1" applyFont="1" applyBorder="1"/>
    <xf numFmtId="0" fontId="232" fillId="62" borderId="122" xfId="0" applyFont="1" applyFill="1" applyBorder="1"/>
    <xf numFmtId="168" fontId="232" fillId="62" borderId="122" xfId="863" applyFont="1" applyFill="1" applyBorder="1"/>
    <xf numFmtId="14" fontId="232" fillId="62" borderId="122" xfId="0" applyNumberFormat="1" applyFont="1" applyFill="1" applyBorder="1"/>
    <xf numFmtId="168" fontId="233" fillId="0" borderId="0" xfId="863" applyFont="1"/>
    <xf numFmtId="0" fontId="233" fillId="0" borderId="0" xfId="0" applyFont="1"/>
    <xf numFmtId="0" fontId="233" fillId="41" borderId="0" xfId="0" applyFont="1" applyFill="1"/>
    <xf numFmtId="0" fontId="234" fillId="41" borderId="0" xfId="0" applyFont="1" applyFill="1"/>
    <xf numFmtId="168" fontId="233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5" fillId="0" borderId="0" xfId="847" applyNumberFormat="1" applyFont="1" applyAlignment="1">
      <alignment horizontal="left"/>
    </xf>
    <xf numFmtId="257" fontId="205" fillId="0" borderId="0" xfId="847" applyNumberFormat="1" applyFont="1" applyAlignment="1">
      <alignment horizontal="left"/>
    </xf>
    <xf numFmtId="170" fontId="205" fillId="0" borderId="0" xfId="863" applyNumberFormat="1" applyFont="1" applyAlignment="1">
      <alignment horizontal="left" vertical="top"/>
    </xf>
    <xf numFmtId="167" fontId="208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5" fillId="41" borderId="0" xfId="863" applyNumberFormat="1" applyFont="1" applyFill="1" applyBorder="1" applyAlignment="1">
      <alignment horizontal="right"/>
    </xf>
    <xf numFmtId="262" fontId="205" fillId="0" borderId="0" xfId="847" applyNumberFormat="1" applyFont="1" applyBorder="1"/>
    <xf numFmtId="262" fontId="205" fillId="0" borderId="0" xfId="847" applyNumberFormat="1" applyFont="1" applyFill="1" applyBorder="1" applyAlignment="1">
      <alignment horizontal="right"/>
    </xf>
    <xf numFmtId="262" fontId="205" fillId="0" borderId="0" xfId="847" applyNumberFormat="1" applyFont="1" applyBorder="1" applyAlignment="1">
      <alignment horizontal="right"/>
    </xf>
    <xf numFmtId="0" fontId="30" fillId="0" borderId="0" xfId="0" applyFont="1" applyAlignment="1">
      <alignment horizontal="right" vertical="center"/>
    </xf>
    <xf numFmtId="0" fontId="237" fillId="0" borderId="0" xfId="0" applyFont="1" applyAlignment="1">
      <alignment horizontal="right" vertical="center"/>
    </xf>
    <xf numFmtId="0" fontId="205" fillId="0" borderId="0" xfId="0" applyFont="1" applyAlignment="1">
      <alignment horizontal="left"/>
    </xf>
    <xf numFmtId="0" fontId="229" fillId="0" borderId="0" xfId="832" applyFont="1"/>
    <xf numFmtId="253" fontId="116" fillId="0" borderId="0" xfId="0" applyNumberFormat="1" applyFont="1"/>
    <xf numFmtId="4" fontId="116" fillId="0" borderId="0" xfId="0" applyNumberFormat="1" applyFont="1"/>
    <xf numFmtId="0" fontId="116" fillId="0" borderId="0" xfId="0" applyFont="1"/>
    <xf numFmtId="167" fontId="205" fillId="0" borderId="0" xfId="801" applyNumberFormat="1" applyFont="1" applyBorder="1" applyAlignment="1" applyProtection="1"/>
    <xf numFmtId="167" fontId="205" fillId="0" borderId="0" xfId="815" applyFont="1" applyFill="1" applyBorder="1" applyAlignment="1">
      <alignment horizontal="right" indent="2"/>
    </xf>
    <xf numFmtId="167" fontId="205" fillId="0" borderId="0" xfId="815" applyFont="1" applyFill="1" applyBorder="1" applyAlignment="1">
      <alignment horizontal="right" indent="5"/>
    </xf>
    <xf numFmtId="167" fontId="205" fillId="0" borderId="0" xfId="801" applyNumberFormat="1" applyFont="1" applyFill="1" applyBorder="1" applyAlignment="1" applyProtection="1"/>
    <xf numFmtId="0" fontId="208" fillId="0" borderId="0" xfId="0" applyFont="1" applyAlignment="1">
      <alignment horizontal="center"/>
    </xf>
    <xf numFmtId="171" fontId="205" fillId="0" borderId="0" xfId="0" applyNumberFormat="1" applyFont="1"/>
    <xf numFmtId="0" fontId="212" fillId="0" borderId="0" xfId="0" applyFont="1" applyAlignment="1">
      <alignment horizontal="center" vertical="center" wrapText="1"/>
    </xf>
    <xf numFmtId="167" fontId="208" fillId="0" borderId="0" xfId="0" applyNumberFormat="1" applyFont="1"/>
    <xf numFmtId="0" fontId="30" fillId="0" borderId="0" xfId="907"/>
    <xf numFmtId="171" fontId="30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9" fillId="0" borderId="0" xfId="905" applyNumberFormat="1" applyFont="1" applyAlignment="1">
      <alignment horizontal="center" vertical="center" wrapText="1"/>
    </xf>
    <xf numFmtId="0" fontId="33" fillId="0" borderId="0" xfId="907" applyFont="1"/>
    <xf numFmtId="167" fontId="33" fillId="0" borderId="0" xfId="815" applyFont="1" applyFill="1" applyBorder="1" applyAlignment="1">
      <alignment horizontal="right"/>
    </xf>
    <xf numFmtId="17" fontId="39" fillId="0" borderId="0" xfId="905" applyNumberFormat="1" applyFont="1" applyAlignment="1">
      <alignment horizontal="left" vertical="center" indent="6"/>
    </xf>
    <xf numFmtId="17" fontId="39" fillId="38" borderId="29" xfId="905" applyNumberFormat="1" applyFont="1" applyFill="1" applyBorder="1" applyAlignment="1">
      <alignment horizontal="center" vertical="center" wrapText="1"/>
    </xf>
    <xf numFmtId="0" fontId="36" fillId="0" borderId="0" xfId="907" applyFont="1"/>
    <xf numFmtId="168" fontId="30" fillId="0" borderId="10" xfId="863" applyBorder="1"/>
    <xf numFmtId="0" fontId="224" fillId="0" borderId="0" xfId="2697" applyFont="1" applyAlignment="1">
      <alignment vertical="top"/>
    </xf>
    <xf numFmtId="0" fontId="224" fillId="0" borderId="0" xfId="2697" applyFont="1" applyAlignment="1">
      <alignment horizontal="right" vertical="top"/>
    </xf>
    <xf numFmtId="17" fontId="39" fillId="0" borderId="0" xfId="905" applyNumberFormat="1" applyFont="1" applyAlignment="1">
      <alignment horizontal="left" vertical="center" indent="11"/>
    </xf>
    <xf numFmtId="167" fontId="33" fillId="0" borderId="0" xfId="815" applyFont="1" applyFill="1" applyBorder="1"/>
    <xf numFmtId="171" fontId="33" fillId="0" borderId="0" xfId="907" applyNumberFormat="1" applyFont="1"/>
    <xf numFmtId="0" fontId="146" fillId="41" borderId="0" xfId="907" applyFont="1" applyFill="1"/>
    <xf numFmtId="168" fontId="116" fillId="0" borderId="0" xfId="863" applyFont="1"/>
    <xf numFmtId="168" fontId="205" fillId="0" borderId="0" xfId="863" applyFont="1" applyFill="1" applyBorder="1"/>
    <xf numFmtId="0" fontId="228" fillId="0" borderId="0" xfId="830" applyFont="1"/>
    <xf numFmtId="0" fontId="226" fillId="0" borderId="0" xfId="831" applyFont="1"/>
    <xf numFmtId="0" fontId="205" fillId="0" borderId="0" xfId="0" applyFont="1" applyAlignment="1">
      <alignment horizontal="center"/>
    </xf>
    <xf numFmtId="14" fontId="205" fillId="0" borderId="0" xfId="0" applyNumberFormat="1" applyFont="1" applyAlignment="1">
      <alignment horizontal="center"/>
    </xf>
    <xf numFmtId="0" fontId="225" fillId="0" borderId="0" xfId="0" applyFont="1"/>
    <xf numFmtId="167" fontId="205" fillId="0" borderId="10" xfId="815" applyFont="1" applyFill="1" applyBorder="1"/>
    <xf numFmtId="0" fontId="241" fillId="33" borderId="0" xfId="831" applyFont="1" applyFill="1" applyAlignment="1">
      <alignment horizontal="right" vertical="center"/>
    </xf>
    <xf numFmtId="0" fontId="110" fillId="41" borderId="0" xfId="907" applyFont="1" applyFill="1" applyAlignment="1">
      <alignment horizontal="center"/>
    </xf>
    <xf numFmtId="9" fontId="38" fillId="38" borderId="0" xfId="1823" applyFont="1" applyFill="1" applyBorder="1" applyAlignment="1">
      <alignment horizontal="center" vertical="center" wrapText="1"/>
    </xf>
    <xf numFmtId="0" fontId="43" fillId="41" borderId="0" xfId="907" applyFont="1" applyFill="1" applyAlignment="1">
      <alignment horizontal="left" indent="1"/>
    </xf>
    <xf numFmtId="0" fontId="242" fillId="41" borderId="106" xfId="831" applyFont="1" applyFill="1" applyBorder="1" applyAlignment="1">
      <alignment horizontal="left"/>
    </xf>
    <xf numFmtId="0" fontId="31" fillId="41" borderId="0" xfId="801" applyFill="1" applyBorder="1" applyAlignment="1" applyProtection="1">
      <alignment horizontal="left"/>
    </xf>
    <xf numFmtId="0" fontId="43" fillId="41" borderId="0" xfId="2697" applyFont="1" applyFill="1"/>
    <xf numFmtId="0" fontId="31" fillId="41" borderId="0" xfId="801" applyFill="1" applyBorder="1" applyAlignment="1" applyProtection="1"/>
    <xf numFmtId="0" fontId="243" fillId="41" borderId="0" xfId="907" applyFont="1" applyFill="1" applyAlignment="1">
      <alignment horizontal="left"/>
    </xf>
    <xf numFmtId="0" fontId="31" fillId="41" borderId="0" xfId="801" applyFill="1" applyBorder="1" applyAlignment="1" applyProtection="1">
      <alignment horizontal="right"/>
    </xf>
    <xf numFmtId="0" fontId="117" fillId="101" borderId="0" xfId="2697" applyFont="1" applyFill="1" applyAlignment="1">
      <alignment horizontal="center" vertical="center" wrapText="1"/>
    </xf>
    <xf numFmtId="0" fontId="43" fillId="41" borderId="0" xfId="2697" applyFont="1" applyFill="1" applyAlignment="1">
      <alignment horizontal="left" vertical="center"/>
    </xf>
    <xf numFmtId="43" fontId="43" fillId="41" borderId="0" xfId="43199" applyFont="1" applyFill="1" applyBorder="1" applyAlignment="1"/>
    <xf numFmtId="43" fontId="43" fillId="41" borderId="0" xfId="43199" applyFont="1" applyFill="1" applyBorder="1"/>
    <xf numFmtId="167" fontId="43" fillId="41" borderId="0" xfId="815" quotePrefix="1" applyFont="1" applyFill="1" applyBorder="1"/>
    <xf numFmtId="10" fontId="43" fillId="41" borderId="0" xfId="847" applyNumberFormat="1" applyFont="1" applyFill="1" applyBorder="1" applyAlignment="1">
      <alignment horizontal="right" vertical="center"/>
    </xf>
    <xf numFmtId="43" fontId="43" fillId="41" borderId="0" xfId="907" applyNumberFormat="1" applyFont="1" applyFill="1"/>
    <xf numFmtId="167" fontId="110" fillId="41" borderId="0" xfId="815" applyFont="1" applyFill="1" applyBorder="1" applyAlignment="1"/>
    <xf numFmtId="43" fontId="110" fillId="41" borderId="0" xfId="907" applyNumberFormat="1" applyFont="1" applyFill="1"/>
    <xf numFmtId="0" fontId="30" fillId="41" borderId="0" xfId="2697" applyFill="1" applyAlignment="1">
      <alignment horizontal="center"/>
    </xf>
    <xf numFmtId="167" fontId="243" fillId="41" borderId="0" xfId="815" applyFont="1" applyFill="1" applyBorder="1" applyAlignment="1"/>
    <xf numFmtId="43" fontId="43" fillId="41" borderId="0" xfId="43200" applyFont="1" applyFill="1" applyBorder="1" applyAlignment="1" applyProtection="1">
      <alignment horizontal="center"/>
    </xf>
    <xf numFmtId="43" fontId="203" fillId="41" borderId="0" xfId="43199" applyFont="1" applyFill="1" applyBorder="1"/>
    <xf numFmtId="43" fontId="110" fillId="41" borderId="0" xfId="43199" applyFont="1" applyFill="1" applyBorder="1"/>
    <xf numFmtId="0" fontId="43" fillId="41" borderId="0" xfId="907" applyFont="1" applyFill="1" applyAlignment="1">
      <alignment horizontal="center"/>
    </xf>
    <xf numFmtId="0" fontId="232" fillId="41" borderId="123" xfId="2697" applyFont="1" applyFill="1" applyBorder="1" applyAlignment="1">
      <alignment horizontal="center"/>
    </xf>
    <xf numFmtId="0" fontId="232" fillId="41" borderId="124" xfId="2697" applyFont="1" applyFill="1" applyBorder="1" applyAlignment="1">
      <alignment horizontal="center"/>
    </xf>
    <xf numFmtId="0" fontId="243" fillId="41" borderId="0" xfId="907" applyFont="1" applyFill="1"/>
    <xf numFmtId="170" fontId="43" fillId="33" borderId="0" xfId="43199" applyNumberFormat="1" applyFont="1" applyFill="1" applyBorder="1" applyAlignment="1">
      <alignment horizontal="center" wrapText="1"/>
    </xf>
    <xf numFmtId="43" fontId="43" fillId="41" borderId="0" xfId="43199" applyFont="1" applyFill="1" applyBorder="1" applyAlignment="1">
      <alignment horizontal="center"/>
    </xf>
    <xf numFmtId="0" fontId="43" fillId="41" borderId="0" xfId="2697" applyFont="1" applyFill="1" applyAlignment="1">
      <alignment horizontal="center" vertical="center"/>
    </xf>
    <xf numFmtId="2" fontId="43" fillId="41" borderId="0" xfId="2697" applyNumberFormat="1" applyFont="1" applyFill="1" applyAlignment="1">
      <alignment horizontal="center"/>
    </xf>
    <xf numFmtId="43" fontId="43" fillId="41" borderId="0" xfId="2697" applyNumberFormat="1" applyFont="1" applyFill="1" applyAlignment="1">
      <alignment horizontal="left"/>
    </xf>
    <xf numFmtId="0" fontId="43" fillId="41" borderId="0" xfId="2697" applyFont="1" applyFill="1" applyAlignment="1">
      <alignment horizontal="center"/>
    </xf>
    <xf numFmtId="0" fontId="43" fillId="41" borderId="0" xfId="2697" applyFont="1" applyFill="1" applyAlignment="1">
      <alignment horizontal="left"/>
    </xf>
    <xf numFmtId="0" fontId="143" fillId="41" borderId="125" xfId="907" applyFont="1" applyFill="1" applyBorder="1" applyAlignment="1">
      <alignment horizontal="center"/>
    </xf>
    <xf numFmtId="3" fontId="43" fillId="41" borderId="0" xfId="43199" applyNumberFormat="1" applyFont="1" applyFill="1" applyBorder="1" applyAlignment="1">
      <alignment horizontal="right"/>
    </xf>
    <xf numFmtId="43" fontId="43" fillId="41" borderId="0" xfId="43199" applyFont="1" applyFill="1" applyBorder="1" applyAlignment="1">
      <alignment horizontal="right"/>
    </xf>
    <xf numFmtId="43" fontId="43" fillId="41" borderId="0" xfId="43199" applyFont="1" applyFill="1" applyBorder="1" applyAlignment="1">
      <alignment horizontal="left"/>
    </xf>
    <xf numFmtId="0" fontId="244" fillId="41" borderId="123" xfId="907" applyFont="1" applyFill="1" applyBorder="1" applyAlignment="1">
      <alignment horizontal="center"/>
    </xf>
    <xf numFmtId="43" fontId="43" fillId="0" borderId="0" xfId="43199" applyFont="1" applyFill="1" applyBorder="1" applyAlignment="1">
      <alignment horizontal="left"/>
    </xf>
    <xf numFmtId="0" fontId="244" fillId="41" borderId="124" xfId="907" applyFont="1" applyFill="1" applyBorder="1" applyAlignment="1">
      <alignment horizontal="center"/>
    </xf>
    <xf numFmtId="43" fontId="110" fillId="0" borderId="0" xfId="43199" applyFont="1" applyFill="1" applyBorder="1" applyAlignment="1">
      <alignment horizontal="left"/>
    </xf>
    <xf numFmtId="43" fontId="43" fillId="0" borderId="0" xfId="2697" applyNumberFormat="1" applyFont="1"/>
    <xf numFmtId="43" fontId="110" fillId="0" borderId="0" xfId="2697" applyNumberFormat="1" applyFont="1" applyAlignment="1">
      <alignment horizontal="left"/>
    </xf>
    <xf numFmtId="43" fontId="110" fillId="41" borderId="0" xfId="43199" quotePrefix="1" applyFont="1" applyFill="1" applyBorder="1" applyAlignment="1">
      <alignment horizontal="left"/>
    </xf>
    <xf numFmtId="10" fontId="43" fillId="41" borderId="0" xfId="43199" applyNumberFormat="1" applyFont="1" applyFill="1" applyBorder="1"/>
    <xf numFmtId="0" fontId="145" fillId="41" borderId="0" xfId="2697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 wrapText="1"/>
    </xf>
    <xf numFmtId="0" fontId="144" fillId="41" borderId="0" xfId="2697" applyFont="1" applyFill="1" applyAlignment="1">
      <alignment vertical="center"/>
    </xf>
    <xf numFmtId="3" fontId="144" fillId="41" borderId="0" xfId="2697" applyNumberFormat="1" applyFont="1" applyFill="1" applyAlignment="1">
      <alignment horizontal="center" vertical="center"/>
    </xf>
    <xf numFmtId="10" fontId="144" fillId="41" borderId="0" xfId="2697" applyNumberFormat="1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/>
    </xf>
    <xf numFmtId="3" fontId="144" fillId="41" borderId="0" xfId="2697" applyNumberFormat="1" applyFont="1" applyFill="1" applyAlignment="1">
      <alignment vertical="center"/>
    </xf>
    <xf numFmtId="10" fontId="144" fillId="41" borderId="0" xfId="2697" applyNumberFormat="1" applyFont="1" applyFill="1" applyAlignment="1">
      <alignment horizontal="right" vertical="center"/>
    </xf>
    <xf numFmtId="0" fontId="146" fillId="41" borderId="0" xfId="2697" applyFont="1" applyFill="1"/>
    <xf numFmtId="9" fontId="38" fillId="38" borderId="0" xfId="1095" applyFont="1" applyFill="1" applyBorder="1" applyAlignment="1">
      <alignment horizontal="center" vertical="center" wrapText="1"/>
    </xf>
    <xf numFmtId="0" fontId="143" fillId="41" borderId="0" xfId="2697" applyFont="1" applyFill="1" applyAlignment="1">
      <alignment horizontal="center" vertical="center"/>
    </xf>
    <xf numFmtId="43" fontId="43" fillId="0" borderId="0" xfId="43199" applyFont="1" applyAlignment="1">
      <alignment vertical="center"/>
    </xf>
    <xf numFmtId="0" fontId="43" fillId="0" borderId="0" xfId="2697" applyFont="1"/>
    <xf numFmtId="0" fontId="110" fillId="0" borderId="0" xfId="2697" applyFont="1"/>
    <xf numFmtId="43" fontId="43" fillId="0" borderId="0" xfId="43201" applyFont="1" applyFill="1" applyBorder="1" applyAlignment="1">
      <alignment horizontal="right" vertical="center"/>
    </xf>
    <xf numFmtId="0" fontId="146" fillId="0" borderId="0" xfId="2697" applyFont="1" applyAlignment="1">
      <alignment vertical="center"/>
    </xf>
    <xf numFmtId="0" fontId="146" fillId="0" borderId="0" xfId="2697" applyFont="1"/>
    <xf numFmtId="43" fontId="146" fillId="41" borderId="0" xfId="43199" applyFont="1" applyFill="1" applyBorder="1"/>
    <xf numFmtId="43" fontId="143" fillId="41" borderId="0" xfId="2697" applyNumberFormat="1" applyFont="1" applyFill="1" applyAlignment="1">
      <alignment horizontal="center" vertical="center"/>
    </xf>
    <xf numFmtId="9" fontId="43" fillId="0" borderId="0" xfId="2697" applyNumberFormat="1" applyFont="1"/>
    <xf numFmtId="10" fontId="43" fillId="0" borderId="0" xfId="2697" applyNumberFormat="1" applyFont="1"/>
    <xf numFmtId="0" fontId="43" fillId="41" borderId="0" xfId="2697" applyFont="1" applyFill="1" applyAlignment="1">
      <alignment vertical="center"/>
    </xf>
    <xf numFmtId="43" fontId="43" fillId="41" borderId="0" xfId="43199" applyFont="1" applyFill="1" applyBorder="1" applyAlignment="1">
      <alignment vertical="center"/>
    </xf>
    <xf numFmtId="217" fontId="43" fillId="33" borderId="0" xfId="2697" applyNumberFormat="1" applyFont="1" applyFill="1" applyAlignment="1">
      <alignment horizontal="center"/>
    </xf>
    <xf numFmtId="0" fontId="124" fillId="41" borderId="0" xfId="43202" applyFont="1" applyFill="1" applyAlignment="1">
      <alignment horizontal="center" wrapText="1"/>
    </xf>
    <xf numFmtId="0" fontId="124" fillId="41" borderId="0" xfId="43202" applyFont="1" applyFill="1" applyAlignment="1">
      <alignment horizontal="center"/>
    </xf>
    <xf numFmtId="0" fontId="137" fillId="41" borderId="0" xfId="43202" applyFont="1" applyFill="1"/>
    <xf numFmtId="43" fontId="137" fillId="41" borderId="0" xfId="43199" applyFont="1" applyFill="1" applyBorder="1"/>
    <xf numFmtId="167" fontId="30" fillId="0" borderId="0" xfId="815" applyFont="1" applyFill="1" applyBorder="1" applyAlignment="1">
      <alignment horizontal="left"/>
    </xf>
    <xf numFmtId="3" fontId="30" fillId="0" borderId="0" xfId="0" applyNumberFormat="1" applyFont="1"/>
    <xf numFmtId="49" fontId="30" fillId="0" borderId="0" xfId="847" applyNumberFormat="1" applyFont="1" applyFill="1" applyBorder="1" applyAlignment="1">
      <alignment horizontal="center"/>
    </xf>
    <xf numFmtId="168" fontId="205" fillId="0" borderId="0" xfId="863" applyFont="1" applyFill="1" applyBorder="1" applyAlignment="1"/>
    <xf numFmtId="168" fontId="205" fillId="0" borderId="0" xfId="863" applyFont="1" applyFill="1" applyBorder="1" applyAlignment="1">
      <alignment horizontal="left"/>
    </xf>
    <xf numFmtId="0" fontId="110" fillId="102" borderId="0" xfId="0" applyFont="1" applyFill="1"/>
    <xf numFmtId="0" fontId="32" fillId="45" borderId="0" xfId="10225" applyFill="1" applyAlignment="1"/>
    <xf numFmtId="0" fontId="43" fillId="0" borderId="0" xfId="0" applyFont="1"/>
    <xf numFmtId="174" fontId="0" fillId="0" borderId="0" xfId="0" applyNumberFormat="1"/>
    <xf numFmtId="0" fontId="110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3" fillId="0" borderId="0" xfId="0" applyFont="1" applyAlignment="1">
      <alignment wrapText="1"/>
    </xf>
    <xf numFmtId="0" fontId="43" fillId="0" borderId="0" xfId="2697" applyFont="1" applyAlignment="1">
      <alignment horizontal="center" vertical="center"/>
    </xf>
    <xf numFmtId="170" fontId="38" fillId="55" borderId="137" xfId="863" applyNumberFormat="1" applyFont="1" applyFill="1" applyBorder="1" applyAlignment="1">
      <alignment horizontal="center" vertical="center"/>
    </xf>
    <xf numFmtId="170" fontId="38" fillId="55" borderId="138" xfId="863" applyNumberFormat="1" applyFont="1" applyFill="1" applyBorder="1" applyAlignment="1">
      <alignment horizontal="center" vertical="center"/>
    </xf>
    <xf numFmtId="170" fontId="38" fillId="55" borderId="139" xfId="863" applyNumberFormat="1" applyFont="1" applyFill="1" applyBorder="1" applyAlignment="1">
      <alignment horizontal="center" vertical="center"/>
    </xf>
    <xf numFmtId="17" fontId="38" fillId="55" borderId="140" xfId="905" applyNumberFormat="1" applyFont="1" applyFill="1" applyBorder="1" applyAlignment="1">
      <alignment horizontal="center" vertical="center"/>
    </xf>
    <xf numFmtId="17" fontId="38" fillId="55" borderId="138" xfId="905" applyNumberFormat="1" applyFont="1" applyFill="1" applyBorder="1" applyAlignment="1">
      <alignment horizontal="center" vertical="center"/>
    </xf>
    <xf numFmtId="17" fontId="38" fillId="55" borderId="141" xfId="905" applyNumberFormat="1" applyFont="1" applyFill="1" applyBorder="1" applyAlignment="1">
      <alignment horizontal="center" vertical="center"/>
    </xf>
    <xf numFmtId="168" fontId="208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vertical="center"/>
    </xf>
    <xf numFmtId="10" fontId="43" fillId="33" borderId="0" xfId="2697" applyNumberFormat="1" applyFont="1" applyFill="1" applyAlignment="1">
      <alignment horizontal="center"/>
    </xf>
    <xf numFmtId="10" fontId="205" fillId="0" borderId="0" xfId="0" applyNumberFormat="1" applyFont="1"/>
    <xf numFmtId="168" fontId="205" fillId="100" borderId="0" xfId="863" applyFont="1" applyFill="1" applyBorder="1"/>
    <xf numFmtId="49" fontId="30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0" fontId="0" fillId="100" borderId="0" xfId="0" applyFill="1"/>
    <xf numFmtId="168" fontId="0" fillId="100" borderId="0" xfId="863" applyFont="1" applyFill="1"/>
    <xf numFmtId="10" fontId="205" fillId="104" borderId="0" xfId="847" applyNumberFormat="1" applyFont="1" applyFill="1" applyBorder="1" applyAlignment="1">
      <alignment horizontal="right"/>
    </xf>
    <xf numFmtId="167" fontId="205" fillId="100" borderId="29" xfId="815" applyFont="1" applyFill="1" applyBorder="1"/>
    <xf numFmtId="170" fontId="43" fillId="0" borderId="0" xfId="43199" applyNumberFormat="1" applyFont="1" applyFill="1" applyBorder="1" applyAlignment="1">
      <alignment horizontal="right"/>
    </xf>
    <xf numFmtId="2" fontId="43" fillId="0" borderId="0" xfId="2697" applyNumberFormat="1" applyFont="1" applyAlignment="1">
      <alignment horizontal="center"/>
    </xf>
    <xf numFmtId="0" fontId="43" fillId="0" borderId="0" xfId="907" applyFont="1" applyAlignment="1">
      <alignment horizontal="center"/>
    </xf>
    <xf numFmtId="4" fontId="0" fillId="0" borderId="0" xfId="0" applyNumberFormat="1"/>
    <xf numFmtId="9" fontId="43" fillId="41" borderId="0" xfId="847" applyFont="1" applyFill="1" applyBorder="1"/>
    <xf numFmtId="43" fontId="43" fillId="0" borderId="0" xfId="43199" applyFont="1" applyFill="1" applyBorder="1" applyAlignment="1">
      <alignment horizontal="left" vertical="center"/>
    </xf>
    <xf numFmtId="43" fontId="43" fillId="41" borderId="0" xfId="43199" applyFont="1" applyFill="1" applyBorder="1" applyAlignment="1">
      <alignment horizontal="center" vertical="center"/>
    </xf>
    <xf numFmtId="0" fontId="117" fillId="41" borderId="142" xfId="907" applyFont="1" applyFill="1" applyBorder="1" applyAlignment="1">
      <alignment horizontal="center"/>
    </xf>
    <xf numFmtId="0" fontId="146" fillId="41" borderId="0" xfId="907" applyFont="1" applyFill="1" applyProtection="1">
      <protection locked="0"/>
    </xf>
    <xf numFmtId="43" fontId="146" fillId="41" borderId="0" xfId="43199" applyFont="1" applyFill="1" applyBorder="1" applyProtection="1">
      <protection locked="0"/>
    </xf>
    <xf numFmtId="0" fontId="43" fillId="0" borderId="0" xfId="2697" applyFont="1" applyProtection="1">
      <protection locked="0"/>
    </xf>
    <xf numFmtId="167" fontId="205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4" fillId="41" borderId="125" xfId="907" applyFont="1" applyFill="1" applyBorder="1" applyAlignment="1">
      <alignment horizontal="center"/>
    </xf>
    <xf numFmtId="0" fontId="30" fillId="61" borderId="0" xfId="0" applyFont="1" applyFill="1"/>
    <xf numFmtId="168" fontId="43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20" fillId="0" borderId="0" xfId="0" applyFont="1"/>
    <xf numFmtId="168" fontId="43" fillId="41" borderId="0" xfId="863" applyFont="1" applyFill="1" applyBorder="1"/>
    <xf numFmtId="0" fontId="247" fillId="0" borderId="0" xfId="0" applyFont="1" applyAlignment="1">
      <alignment horizontal="right" vertical="center"/>
    </xf>
    <xf numFmtId="43" fontId="43" fillId="0" borderId="0" xfId="43185" applyFont="1" applyFill="1" applyBorder="1" applyAlignment="1" applyProtection="1">
      <alignment horizontal="right"/>
      <protection locked="0"/>
    </xf>
    <xf numFmtId="0" fontId="212" fillId="43" borderId="0" xfId="0" applyFont="1" applyFill="1" applyAlignment="1">
      <alignment horizontal="center"/>
    </xf>
    <xf numFmtId="0" fontId="117" fillId="0" borderId="0" xfId="907" applyFont="1"/>
    <xf numFmtId="0" fontId="43" fillId="0" borderId="0" xfId="2697" applyFont="1" applyAlignment="1">
      <alignment horizontal="left" vertical="center"/>
    </xf>
    <xf numFmtId="43" fontId="43" fillId="0" borderId="0" xfId="43199" applyFont="1" applyFill="1" applyBorder="1" applyAlignment="1"/>
    <xf numFmtId="10" fontId="43" fillId="41" borderId="0" xfId="43199" applyNumberFormat="1" applyFont="1" applyFill="1" applyBorder="1" applyAlignment="1"/>
    <xf numFmtId="0" fontId="244" fillId="0" borderId="0" xfId="43405" applyFont="1"/>
    <xf numFmtId="10" fontId="244" fillId="0" borderId="0" xfId="847" applyNumberFormat="1" applyFont="1" applyFill="1" applyBorder="1"/>
    <xf numFmtId="0" fontId="250" fillId="0" borderId="0" xfId="7308" applyFont="1"/>
    <xf numFmtId="0" fontId="251" fillId="0" borderId="0" xfId="7308" applyFont="1" applyAlignment="1">
      <alignment horizontal="center"/>
    </xf>
    <xf numFmtId="2" fontId="250" fillId="0" borderId="0" xfId="7308" applyNumberFormat="1" applyFont="1"/>
    <xf numFmtId="0" fontId="251" fillId="0" borderId="0" xfId="7308" applyFont="1"/>
    <xf numFmtId="0" fontId="252" fillId="0" borderId="0" xfId="7308" applyFont="1" applyAlignment="1">
      <alignment horizontal="center"/>
    </xf>
    <xf numFmtId="0" fontId="253" fillId="0" borderId="0" xfId="7308" applyFont="1"/>
    <xf numFmtId="168" fontId="252" fillId="0" borderId="0" xfId="43165" applyFont="1"/>
    <xf numFmtId="0" fontId="250" fillId="42" borderId="0" xfId="7308" applyFont="1" applyFill="1"/>
    <xf numFmtId="0" fontId="259" fillId="41" borderId="0" xfId="831" applyFont="1" applyFill="1" applyAlignment="1">
      <alignment horizontal="left"/>
    </xf>
    <xf numFmtId="0" fontId="250" fillId="0" borderId="20" xfId="7308" applyFont="1" applyBorder="1"/>
    <xf numFmtId="10" fontId="250" fillId="41" borderId="10" xfId="1095" applyNumberFormat="1" applyFont="1" applyFill="1" applyBorder="1"/>
    <xf numFmtId="0" fontId="260" fillId="55" borderId="0" xfId="834" applyFont="1" applyFill="1" applyAlignment="1" applyProtection="1">
      <alignment horizontal="left" vertical="center"/>
    </xf>
    <xf numFmtId="0" fontId="260" fillId="55" borderId="0" xfId="834" applyFont="1" applyFill="1" applyAlignment="1" applyProtection="1">
      <alignment horizontal="center" vertical="center"/>
    </xf>
    <xf numFmtId="0" fontId="250" fillId="0" borderId="0" xfId="2697" applyFont="1" applyAlignment="1">
      <alignment vertical="center"/>
    </xf>
    <xf numFmtId="191" fontId="250" fillId="0" borderId="0" xfId="1095" applyNumberFormat="1" applyFont="1" applyBorder="1" applyAlignment="1">
      <alignment horizontal="right" vertical="center"/>
    </xf>
    <xf numFmtId="167" fontId="250" fillId="41" borderId="10" xfId="902" applyFont="1" applyFill="1" applyBorder="1"/>
    <xf numFmtId="10" fontId="250" fillId="0" borderId="0" xfId="1095" applyNumberFormat="1" applyFont="1" applyBorder="1" applyAlignment="1">
      <alignment horizontal="right" vertical="center"/>
    </xf>
    <xf numFmtId="43" fontId="250" fillId="0" borderId="0" xfId="7308" applyNumberFormat="1" applyFont="1"/>
    <xf numFmtId="168" fontId="250" fillId="0" borderId="0" xfId="43165" applyFont="1" applyAlignment="1">
      <alignment horizontal="center"/>
    </xf>
    <xf numFmtId="0" fontId="264" fillId="0" borderId="0" xfId="7308" applyFont="1" applyAlignment="1">
      <alignment horizontal="center"/>
    </xf>
    <xf numFmtId="168" fontId="250" fillId="0" borderId="0" xfId="43165" applyFont="1" applyAlignment="1"/>
    <xf numFmtId="168" fontId="250" fillId="0" borderId="0" xfId="43165" applyFont="1" applyAlignment="1">
      <alignment horizontal="left" vertical="center"/>
    </xf>
    <xf numFmtId="168" fontId="251" fillId="0" borderId="0" xfId="43165" applyFont="1" applyAlignment="1"/>
    <xf numFmtId="168" fontId="251" fillId="0" borderId="0" xfId="43165" applyFont="1" applyAlignment="1">
      <alignment horizontal="center"/>
    </xf>
    <xf numFmtId="165" fontId="205" fillId="0" borderId="0" xfId="815" applyNumberFormat="1" applyFont="1" applyBorder="1" applyAlignment="1">
      <alignment horizontal="left"/>
    </xf>
    <xf numFmtId="0" fontId="243" fillId="0" borderId="0" xfId="831" applyFont="1" applyAlignment="1">
      <alignment horizontal="left"/>
    </xf>
    <xf numFmtId="0" fontId="38" fillId="0" borderId="0" xfId="834" applyFont="1" applyAlignment="1" applyProtection="1">
      <alignment horizontal="center" vertical="center"/>
    </xf>
    <xf numFmtId="191" fontId="43" fillId="0" borderId="0" xfId="1095" applyNumberFormat="1" applyFont="1" applyFill="1" applyBorder="1" applyAlignment="1">
      <alignment horizontal="right" vertical="center"/>
    </xf>
    <xf numFmtId="0" fontId="263" fillId="0" borderId="0" xfId="7308" applyFont="1"/>
    <xf numFmtId="168" fontId="250" fillId="0" borderId="0" xfId="43165" applyFont="1" applyFill="1" applyBorder="1" applyAlignment="1">
      <alignment horizontal="center"/>
    </xf>
    <xf numFmtId="168" fontId="250" fillId="0" borderId="0" xfId="43165" applyFont="1" applyFill="1" applyBorder="1" applyAlignment="1"/>
    <xf numFmtId="0" fontId="110" fillId="0" borderId="0" xfId="2697" applyFont="1" applyAlignment="1">
      <alignment vertical="center"/>
    </xf>
    <xf numFmtId="4" fontId="110" fillId="0" borderId="0" xfId="2697" applyNumberFormat="1" applyFont="1" applyAlignment="1">
      <alignment vertical="center"/>
    </xf>
    <xf numFmtId="168" fontId="251" fillId="0" borderId="0" xfId="43165" applyFont="1" applyFill="1" applyBorder="1" applyAlignment="1"/>
    <xf numFmtId="10" fontId="261" fillId="61" borderId="150" xfId="1095" applyNumberFormat="1" applyFont="1" applyFill="1" applyBorder="1" applyAlignment="1">
      <alignment vertical="center"/>
    </xf>
    <xf numFmtId="0" fontId="251" fillId="0" borderId="151" xfId="7308" applyFont="1" applyBorder="1" applyAlignment="1">
      <alignment horizontal="center"/>
    </xf>
    <xf numFmtId="167" fontId="250" fillId="102" borderId="10" xfId="902" applyFont="1" applyFill="1" applyBorder="1"/>
    <xf numFmtId="0" fontId="210" fillId="41" borderId="0" xfId="0" applyFont="1" applyFill="1"/>
    <xf numFmtId="0" fontId="203" fillId="41" borderId="125" xfId="907" applyFont="1" applyFill="1" applyBorder="1" applyAlignment="1">
      <alignment horizontal="center"/>
    </xf>
    <xf numFmtId="10" fontId="30" fillId="0" borderId="0" xfId="847" applyNumberFormat="1" applyFont="1" applyFill="1" applyBorder="1" applyAlignment="1">
      <alignment horizontal="right"/>
    </xf>
    <xf numFmtId="10" fontId="205" fillId="108" borderId="0" xfId="847" applyNumberFormat="1" applyFont="1" applyFill="1" applyBorder="1"/>
    <xf numFmtId="168" fontId="205" fillId="108" borderId="0" xfId="863" applyFont="1" applyFill="1" applyBorder="1"/>
    <xf numFmtId="219" fontId="218" fillId="109" borderId="0" xfId="863" applyNumberFormat="1" applyFont="1" applyFill="1" applyBorder="1"/>
    <xf numFmtId="10" fontId="205" fillId="0" borderId="0" xfId="847" applyNumberFormat="1" applyFont="1" applyFill="1" applyBorder="1" applyAlignment="1">
      <alignment horizontal="right"/>
    </xf>
    <xf numFmtId="0" fontId="113" fillId="0" borderId="0" xfId="0" applyFont="1"/>
    <xf numFmtId="0" fontId="43" fillId="0" borderId="20" xfId="0" applyFont="1" applyBorder="1"/>
    <xf numFmtId="0" fontId="0" fillId="0" borderId="0" xfId="0" applyAlignment="1">
      <alignment horizontal="center"/>
    </xf>
    <xf numFmtId="0" fontId="265" fillId="0" borderId="0" xfId="43410" applyFont="1"/>
    <xf numFmtId="0" fontId="266" fillId="0" borderId="0" xfId="43411"/>
    <xf numFmtId="10" fontId="211" fillId="0" borderId="0" xfId="847" applyNumberFormat="1" applyFont="1" applyBorder="1" applyAlignment="1">
      <alignment horizontal="right" vertical="center"/>
    </xf>
    <xf numFmtId="168" fontId="30" fillId="0" borderId="0" xfId="863" applyFont="1" applyFill="1" applyBorder="1"/>
    <xf numFmtId="10" fontId="30" fillId="0" borderId="0" xfId="847" applyNumberFormat="1" applyFont="1"/>
    <xf numFmtId="0" fontId="30" fillId="0" borderId="0" xfId="0" applyFont="1" applyAlignment="1">
      <alignment horizontal="center"/>
    </xf>
    <xf numFmtId="10" fontId="30" fillId="0" borderId="0" xfId="0" applyNumberFormat="1" applyFont="1"/>
    <xf numFmtId="14" fontId="36" fillId="0" borderId="0" xfId="0" applyNumberFormat="1" applyFont="1" applyAlignment="1">
      <alignment horizontal="center"/>
    </xf>
    <xf numFmtId="260" fontId="30" fillId="0" borderId="0" xfId="0" applyNumberFormat="1" applyFont="1"/>
    <xf numFmtId="168" fontId="30" fillId="0" borderId="0" xfId="863" applyFont="1" applyFill="1"/>
    <xf numFmtId="171" fontId="30" fillId="0" borderId="0" xfId="0" applyNumberFormat="1" applyFont="1"/>
    <xf numFmtId="0" fontId="36" fillId="0" borderId="0" xfId="0" applyFont="1"/>
    <xf numFmtId="0" fontId="36" fillId="45" borderId="152" xfId="907" applyFont="1" applyFill="1" applyBorder="1" applyAlignment="1">
      <alignment horizontal="center" vertical="center" wrapText="1"/>
    </xf>
    <xf numFmtId="0" fontId="205" fillId="0" borderId="20" xfId="0" applyFont="1" applyBorder="1" applyAlignment="1">
      <alignment horizontal="right"/>
    </xf>
    <xf numFmtId="0" fontId="205" fillId="0" borderId="29" xfId="832" applyFont="1" applyBorder="1" applyAlignment="1">
      <alignment horizontal="left"/>
    </xf>
    <xf numFmtId="0" fontId="205" fillId="41" borderId="20" xfId="0" applyFont="1" applyFill="1" applyBorder="1" applyAlignment="1">
      <alignment horizontal="right"/>
    </xf>
    <xf numFmtId="14" fontId="116" fillId="0" borderId="0" xfId="0" applyNumberFormat="1" applyFont="1"/>
    <xf numFmtId="164" fontId="211" fillId="0" borderId="0" xfId="0" applyNumberFormat="1" applyFont="1" applyAlignment="1">
      <alignment horizontal="right" vertical="center"/>
    </xf>
    <xf numFmtId="168" fontId="30" fillId="44" borderId="0" xfId="863" applyFont="1" applyFill="1" applyBorder="1" applyAlignment="1">
      <alignment horizontal="right"/>
    </xf>
    <xf numFmtId="10" fontId="211" fillId="0" borderId="0" xfId="847" applyNumberFormat="1" applyFont="1" applyFill="1" applyBorder="1" applyAlignment="1">
      <alignment horizontal="right" vertical="center"/>
    </xf>
    <xf numFmtId="10" fontId="205" fillId="0" borderId="0" xfId="847" applyNumberFormat="1" applyFont="1" applyFill="1" applyBorder="1" applyAlignment="1">
      <alignment horizontal="right" vertical="center"/>
    </xf>
    <xf numFmtId="0" fontId="30" fillId="104" borderId="0" xfId="0" applyFont="1" applyFill="1"/>
    <xf numFmtId="14" fontId="32" fillId="0" borderId="0" xfId="831" applyNumberFormat="1" applyAlignment="1">
      <alignment horizontal="center"/>
    </xf>
    <xf numFmtId="10" fontId="205" fillId="0" borderId="0" xfId="847" applyNumberFormat="1" applyFont="1" applyFill="1"/>
    <xf numFmtId="0" fontId="6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7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7" fillId="103" borderId="154" xfId="0" applyFont="1" applyFill="1" applyBorder="1" applyAlignment="1">
      <alignment horizontal="center" vertical="distributed"/>
    </xf>
    <xf numFmtId="14" fontId="267" fillId="103" borderId="154" xfId="0" applyNumberFormat="1" applyFont="1" applyFill="1" applyBorder="1" applyAlignment="1">
      <alignment horizontal="center" vertical="distributed"/>
    </xf>
    <xf numFmtId="0" fontId="267" fillId="103" borderId="10" xfId="0" applyFont="1" applyFill="1" applyBorder="1" applyAlignment="1">
      <alignment horizontal="center"/>
    </xf>
    <xf numFmtId="168" fontId="30" fillId="61" borderId="0" xfId="863" applyFont="1" applyFill="1"/>
    <xf numFmtId="168" fontId="43" fillId="41" borderId="0" xfId="903" applyFont="1" applyFill="1" applyBorder="1" applyAlignment="1">
      <alignment horizontal="left" vertical="top" wrapText="1"/>
    </xf>
    <xf numFmtId="0" fontId="30" fillId="112" borderId="0" xfId="0" applyFont="1" applyFill="1" applyAlignment="1">
      <alignment horizontal="center"/>
    </xf>
    <xf numFmtId="0" fontId="30" fillId="112" borderId="0" xfId="0" applyFont="1" applyFill="1"/>
    <xf numFmtId="14" fontId="30" fillId="112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5" fillId="112" borderId="0" xfId="847" applyNumberFormat="1" applyFont="1" applyFill="1" applyBorder="1"/>
    <xf numFmtId="168" fontId="205" fillId="112" borderId="0" xfId="863" applyFont="1" applyFill="1" applyBorder="1"/>
    <xf numFmtId="168" fontId="205" fillId="112" borderId="0" xfId="0" applyNumberFormat="1" applyFont="1" applyFill="1"/>
    <xf numFmtId="2" fontId="237" fillId="0" borderId="0" xfId="0" applyNumberFormat="1" applyFont="1" applyAlignment="1">
      <alignment horizontal="center" vertical="center" wrapText="1"/>
    </xf>
    <xf numFmtId="168" fontId="237" fillId="0" borderId="0" xfId="863" applyFont="1" applyFill="1" applyBorder="1" applyAlignment="1">
      <alignment horizontal="right" vertical="center" wrapText="1"/>
    </xf>
    <xf numFmtId="168" fontId="237" fillId="0" borderId="0" xfId="863" applyFont="1" applyFill="1" applyBorder="1" applyAlignment="1">
      <alignment horizontal="center" vertical="center" wrapText="1"/>
    </xf>
    <xf numFmtId="0" fontId="248" fillId="0" borderId="0" xfId="0" applyFont="1" applyAlignment="1">
      <alignment horizontal="center" vertical="center" wrapText="1"/>
    </xf>
    <xf numFmtId="0" fontId="125" fillId="0" borderId="0" xfId="0" applyFont="1" applyAlignment="1">
      <alignment horizontal="justify" vertical="center" wrapText="1"/>
    </xf>
    <xf numFmtId="264" fontId="125" fillId="0" borderId="0" xfId="907" applyNumberFormat="1" applyFont="1" applyAlignment="1">
      <alignment horizontal="center"/>
    </xf>
    <xf numFmtId="0" fontId="125" fillId="0" borderId="0" xfId="0" applyFont="1" applyAlignment="1">
      <alignment horizontal="center" vertical="center" wrapText="1"/>
    </xf>
    <xf numFmtId="167" fontId="43" fillId="0" borderId="0" xfId="815" applyFont="1" applyFill="1" applyBorder="1" applyAlignment="1">
      <alignment horizontal="left"/>
    </xf>
    <xf numFmtId="167" fontId="43" fillId="114" borderId="16" xfId="815" applyFont="1" applyFill="1" applyBorder="1" applyAlignment="1">
      <alignment horizontal="left"/>
    </xf>
    <xf numFmtId="3" fontId="30" fillId="114" borderId="16" xfId="0" applyNumberFormat="1" applyFont="1" applyFill="1" applyBorder="1"/>
    <xf numFmtId="167" fontId="30" fillId="42" borderId="0" xfId="815" applyFont="1" applyFill="1" applyBorder="1" applyAlignment="1">
      <alignment horizontal="left"/>
    </xf>
    <xf numFmtId="4" fontId="30" fillId="0" borderId="0" xfId="0" applyNumberFormat="1" applyFont="1"/>
    <xf numFmtId="230" fontId="30" fillId="112" borderId="0" xfId="863" applyNumberFormat="1" applyFont="1" applyFill="1" applyBorder="1" applyAlignment="1">
      <alignment horizontal="left"/>
    </xf>
    <xf numFmtId="230" fontId="30" fillId="112" borderId="0" xfId="0" applyNumberFormat="1" applyFont="1" applyFill="1"/>
    <xf numFmtId="230" fontId="30" fillId="112" borderId="0" xfId="0" applyNumberFormat="1" applyFont="1" applyFill="1" applyAlignment="1">
      <alignment horizontal="left"/>
    </xf>
    <xf numFmtId="230" fontId="116" fillId="112" borderId="0" xfId="0" applyNumberFormat="1" applyFont="1" applyFill="1" applyAlignment="1">
      <alignment horizontal="left"/>
    </xf>
    <xf numFmtId="0" fontId="271" fillId="114" borderId="16" xfId="0" applyFont="1" applyFill="1" applyBorder="1"/>
    <xf numFmtId="165" fontId="30" fillId="0" borderId="0" xfId="863" applyNumberFormat="1" applyFont="1" applyFill="1" applyBorder="1"/>
    <xf numFmtId="168" fontId="30" fillId="112" borderId="0" xfId="863" applyFont="1" applyFill="1" applyBorder="1"/>
    <xf numFmtId="0" fontId="268" fillId="0" borderId="0" xfId="0" applyFont="1"/>
    <xf numFmtId="0" fontId="43" fillId="0" borderId="29" xfId="0" applyFont="1" applyBorder="1"/>
    <xf numFmtId="0" fontId="271" fillId="0" borderId="0" xfId="0" applyFont="1"/>
    <xf numFmtId="0" fontId="43" fillId="33" borderId="0" xfId="829" applyFont="1" applyFill="1"/>
    <xf numFmtId="0" fontId="274" fillId="0" borderId="0" xfId="0" applyFont="1"/>
    <xf numFmtId="0" fontId="263" fillId="0" borderId="0" xfId="0" applyFont="1"/>
    <xf numFmtId="0" fontId="125" fillId="0" borderId="20" xfId="0" applyFont="1" applyBorder="1" applyAlignment="1">
      <alignment horizontal="left"/>
    </xf>
    <xf numFmtId="0" fontId="43" fillId="114" borderId="159" xfId="0" applyFont="1" applyFill="1" applyBorder="1"/>
    <xf numFmtId="0" fontId="43" fillId="114" borderId="16" xfId="0" applyFont="1" applyFill="1" applyBorder="1"/>
    <xf numFmtId="0" fontId="43" fillId="114" borderId="16" xfId="907" applyFont="1" applyFill="1" applyBorder="1"/>
    <xf numFmtId="10" fontId="43" fillId="114" borderId="16" xfId="847" applyNumberFormat="1" applyFont="1" applyFill="1" applyBorder="1" applyAlignment="1"/>
    <xf numFmtId="14" fontId="43" fillId="114" borderId="16" xfId="0" applyNumberFormat="1" applyFont="1" applyFill="1" applyBorder="1"/>
    <xf numFmtId="0" fontId="275" fillId="114" borderId="151" xfId="0" applyFont="1" applyFill="1" applyBorder="1"/>
    <xf numFmtId="0" fontId="125" fillId="0" borderId="0" xfId="0" applyFont="1" applyAlignment="1">
      <alignment horizontal="left"/>
    </xf>
    <xf numFmtId="0" fontId="275" fillId="0" borderId="0" xfId="0" applyFont="1"/>
    <xf numFmtId="0" fontId="276" fillId="0" borderId="0" xfId="0" applyFont="1"/>
    <xf numFmtId="0" fontId="275" fillId="0" borderId="29" xfId="0" applyFont="1" applyBorder="1"/>
    <xf numFmtId="10" fontId="43" fillId="0" borderId="0" xfId="847" applyNumberFormat="1" applyFont="1" applyFill="1" applyBorder="1" applyAlignment="1"/>
    <xf numFmtId="14" fontId="43" fillId="0" borderId="0" xfId="0" applyNumberFormat="1" applyFont="1"/>
    <xf numFmtId="4" fontId="144" fillId="0" borderId="0" xfId="0" applyNumberFormat="1" applyFont="1"/>
    <xf numFmtId="0" fontId="43" fillId="0" borderId="0" xfId="0" quotePrefix="1" applyFont="1"/>
    <xf numFmtId="43" fontId="268" fillId="0" borderId="0" xfId="0" applyNumberFormat="1" applyFont="1"/>
    <xf numFmtId="168" fontId="43" fillId="0" borderId="0" xfId="863" applyFont="1"/>
    <xf numFmtId="0" fontId="30" fillId="0" borderId="29" xfId="0" applyFont="1" applyBorder="1"/>
    <xf numFmtId="0" fontId="275" fillId="0" borderId="153" xfId="0" applyFont="1" applyBorder="1"/>
    <xf numFmtId="168" fontId="43" fillId="0" borderId="0" xfId="863" applyFont="1" applyBorder="1"/>
    <xf numFmtId="0" fontId="43" fillId="0" borderId="0" xfId="0" applyFont="1" applyAlignment="1">
      <alignment horizontal="center"/>
    </xf>
    <xf numFmtId="0" fontId="43" fillId="0" borderId="20" xfId="0" applyFont="1" applyBorder="1" applyAlignment="1">
      <alignment horizontal="left"/>
    </xf>
    <xf numFmtId="168" fontId="43" fillId="0" borderId="0" xfId="863" applyFont="1" applyBorder="1" applyAlignment="1">
      <alignment horizontal="center"/>
    </xf>
    <xf numFmtId="0" fontId="237" fillId="0" borderId="0" xfId="0" applyFont="1" applyAlignment="1">
      <alignment horizontal="center" vertical="center"/>
    </xf>
    <xf numFmtId="0" fontId="237" fillId="0" borderId="20" xfId="0" applyFont="1" applyBorder="1" applyAlignment="1">
      <alignment horizontal="center" vertical="center"/>
    </xf>
    <xf numFmtId="43" fontId="43" fillId="0" borderId="0" xfId="0" applyNumberFormat="1" applyFont="1"/>
    <xf numFmtId="14" fontId="237" fillId="0" borderId="20" xfId="0" applyNumberFormat="1" applyFont="1" applyBorder="1" applyAlignment="1">
      <alignment horizontal="center" vertical="center"/>
    </xf>
    <xf numFmtId="0" fontId="271" fillId="114" borderId="159" xfId="0" applyFont="1" applyFill="1" applyBorder="1"/>
    <xf numFmtId="0" fontId="271" fillId="114" borderId="151" xfId="0" applyFont="1" applyFill="1" applyBorder="1"/>
    <xf numFmtId="14" fontId="237" fillId="0" borderId="0" xfId="0" applyNumberFormat="1" applyFont="1" applyAlignment="1">
      <alignment horizontal="center" vertical="center"/>
    </xf>
    <xf numFmtId="0" fontId="278" fillId="0" borderId="0" xfId="0" applyFont="1"/>
    <xf numFmtId="171" fontId="43" fillId="0" borderId="0" xfId="907" applyNumberFormat="1" applyFont="1"/>
    <xf numFmtId="0" fontId="30" fillId="59" borderId="0" xfId="907" applyFill="1"/>
    <xf numFmtId="43" fontId="30" fillId="0" borderId="0" xfId="0" applyNumberFormat="1" applyFont="1"/>
    <xf numFmtId="0" fontId="30" fillId="0" borderId="0" xfId="907" applyAlignment="1">
      <alignment horizontal="center"/>
    </xf>
    <xf numFmtId="0" fontId="272" fillId="43" borderId="149" xfId="0" applyFont="1" applyFill="1" applyBorder="1" applyAlignment="1">
      <alignment horizontal="center" vertical="center" wrapText="1"/>
    </xf>
    <xf numFmtId="0" fontId="272" fillId="43" borderId="148" xfId="0" applyFont="1" applyFill="1" applyBorder="1" applyAlignment="1">
      <alignment horizontal="center" vertical="center" wrapText="1"/>
    </xf>
    <xf numFmtId="0" fontId="30" fillId="59" borderId="144" xfId="907" applyFill="1" applyBorder="1"/>
    <xf numFmtId="0" fontId="272" fillId="59" borderId="144" xfId="0" applyFont="1" applyFill="1" applyBorder="1"/>
    <xf numFmtId="10" fontId="30" fillId="0" borderId="0" xfId="847" applyNumberFormat="1" applyFont="1" applyFill="1" applyBorder="1" applyAlignment="1"/>
    <xf numFmtId="0" fontId="30" fillId="0" borderId="0" xfId="907" applyAlignment="1">
      <alignment horizontal="left"/>
    </xf>
    <xf numFmtId="10" fontId="30" fillId="0" borderId="0" xfId="847" applyNumberFormat="1" applyFont="1" applyFill="1" applyBorder="1" applyAlignment="1">
      <alignment horizontal="left"/>
    </xf>
    <xf numFmtId="10" fontId="30" fillId="0" borderId="144" xfId="847" applyNumberFormat="1" applyFont="1" applyFill="1" applyBorder="1" applyAlignment="1"/>
    <xf numFmtId="0" fontId="36" fillId="42" borderId="0" xfId="0" applyFont="1" applyFill="1"/>
    <xf numFmtId="0" fontId="30" fillId="42" borderId="0" xfId="0" applyFont="1" applyFill="1"/>
    <xf numFmtId="165" fontId="30" fillId="0" borderId="0" xfId="0" applyNumberFormat="1" applyFont="1"/>
    <xf numFmtId="167" fontId="30" fillId="112" borderId="0" xfId="815" applyFont="1" applyFill="1" applyBorder="1" applyAlignment="1"/>
    <xf numFmtId="10" fontId="30" fillId="112" borderId="0" xfId="847" applyNumberFormat="1" applyFont="1" applyFill="1" applyBorder="1" applyAlignment="1">
      <alignment horizontal="right"/>
    </xf>
    <xf numFmtId="168" fontId="30" fillId="0" borderId="0" xfId="863" applyFont="1" applyFill="1" applyBorder="1" applyAlignment="1"/>
    <xf numFmtId="170" fontId="30" fillId="0" borderId="0" xfId="0" applyNumberFormat="1" applyFont="1"/>
    <xf numFmtId="0" fontId="279" fillId="96" borderId="147" xfId="0" applyFont="1" applyFill="1" applyBorder="1" applyAlignment="1">
      <alignment vertical="center"/>
    </xf>
    <xf numFmtId="0" fontId="279" fillId="96" borderId="29" xfId="0" applyFont="1" applyFill="1" applyBorder="1" applyAlignment="1">
      <alignment vertical="center"/>
    </xf>
    <xf numFmtId="14" fontId="30" fillId="0" borderId="0" xfId="0" applyNumberFormat="1" applyFont="1" applyAlignment="1">
      <alignment horizontal="right"/>
    </xf>
    <xf numFmtId="14" fontId="30" fillId="41" borderId="0" xfId="0" applyNumberFormat="1" applyFont="1" applyFill="1" applyAlignment="1">
      <alignment horizontal="right"/>
    </xf>
    <xf numFmtId="14" fontId="30" fillId="41" borderId="0" xfId="0" applyNumberFormat="1" applyFont="1" applyFill="1"/>
    <xf numFmtId="14" fontId="30" fillId="0" borderId="0" xfId="0" applyNumberFormat="1" applyFont="1" applyAlignment="1">
      <alignment horizontal="center"/>
    </xf>
    <xf numFmtId="0" fontId="116" fillId="0" borderId="0" xfId="0" applyFont="1" applyAlignment="1">
      <alignment horizontal="center"/>
    </xf>
    <xf numFmtId="14" fontId="30" fillId="0" borderId="10" xfId="0" applyNumberFormat="1" applyFont="1" applyBorder="1" applyAlignment="1">
      <alignment horizontal="center"/>
    </xf>
    <xf numFmtId="14" fontId="116" fillId="0" borderId="0" xfId="0" applyNumberFormat="1" applyFont="1" applyAlignment="1">
      <alignment horizontal="center"/>
    </xf>
    <xf numFmtId="0" fontId="116" fillId="98" borderId="152" xfId="0" applyFont="1" applyFill="1" applyBorder="1"/>
    <xf numFmtId="0" fontId="30" fillId="98" borderId="152" xfId="0" applyFont="1" applyFill="1" applyBorder="1"/>
    <xf numFmtId="263" fontId="116" fillId="98" borderId="152" xfId="0" applyNumberFormat="1" applyFont="1" applyFill="1" applyBorder="1"/>
    <xf numFmtId="0" fontId="30" fillId="0" borderId="10" xfId="0" applyFont="1" applyBorder="1"/>
    <xf numFmtId="1" fontId="30" fillId="0" borderId="0" xfId="815" applyNumberFormat="1" applyFont="1" applyFill="1" applyBorder="1" applyAlignment="1"/>
    <xf numFmtId="3" fontId="30" fillId="42" borderId="144" xfId="0" applyNumberFormat="1" applyFont="1" applyFill="1" applyBorder="1"/>
    <xf numFmtId="10" fontId="205" fillId="44" borderId="0" xfId="847" applyNumberFormat="1" applyFont="1" applyFill="1" applyBorder="1"/>
    <xf numFmtId="0" fontId="30" fillId="112" borderId="0" xfId="863" applyNumberFormat="1" applyFont="1" applyFill="1" applyBorder="1" applyAlignment="1">
      <alignment horizontal="left"/>
    </xf>
    <xf numFmtId="10" fontId="30" fillId="112" borderId="0" xfId="847" applyNumberFormat="1" applyFont="1" applyFill="1" applyBorder="1" applyAlignment="1">
      <alignment horizontal="left"/>
    </xf>
    <xf numFmtId="260" fontId="30" fillId="112" borderId="0" xfId="0" applyNumberFormat="1" applyFont="1" applyFill="1" applyAlignment="1">
      <alignment horizontal="left"/>
    </xf>
    <xf numFmtId="260" fontId="30" fillId="112" borderId="0" xfId="0" applyNumberFormat="1" applyFont="1" applyFill="1"/>
    <xf numFmtId="257" fontId="30" fillId="112" borderId="0" xfId="863" applyNumberFormat="1" applyFont="1" applyFill="1" applyBorder="1" applyAlignment="1">
      <alignment horizontal="left"/>
    </xf>
    <xf numFmtId="258" fontId="30" fillId="112" borderId="0" xfId="847" applyNumberFormat="1" applyFont="1" applyFill="1" applyBorder="1" applyAlignment="1">
      <alignment horizontal="left"/>
    </xf>
    <xf numFmtId="259" fontId="30" fillId="112" borderId="0" xfId="0" applyNumberFormat="1" applyFont="1" applyFill="1" applyAlignment="1">
      <alignment horizontal="left"/>
    </xf>
    <xf numFmtId="230" fontId="30" fillId="112" borderId="0" xfId="2697" applyNumberFormat="1" applyFill="1"/>
    <xf numFmtId="257" fontId="30" fillId="112" borderId="0" xfId="847" applyNumberFormat="1" applyFont="1" applyFill="1" applyBorder="1" applyAlignment="1">
      <alignment horizontal="left"/>
    </xf>
    <xf numFmtId="4" fontId="30" fillId="112" borderId="0" xfId="863" applyNumberFormat="1" applyFont="1" applyFill="1" applyBorder="1" applyAlignment="1">
      <alignment horizontal="left"/>
    </xf>
    <xf numFmtId="0" fontId="30" fillId="112" borderId="0" xfId="0" applyFont="1" applyFill="1" applyAlignment="1">
      <alignment horizontal="left"/>
    </xf>
    <xf numFmtId="0" fontId="275" fillId="0" borderId="160" xfId="0" applyFont="1" applyBorder="1"/>
    <xf numFmtId="0" fontId="30" fillId="0" borderId="0" xfId="0" applyFont="1" applyAlignment="1">
      <alignment horizontal="center" vertical="distributed"/>
    </xf>
    <xf numFmtId="0" fontId="212" fillId="0" borderId="0" xfId="0" applyFont="1" applyAlignment="1">
      <alignment horizontal="center"/>
    </xf>
    <xf numFmtId="0" fontId="205" fillId="0" borderId="0" xfId="908" applyFont="1">
      <alignment vertical="top"/>
    </xf>
    <xf numFmtId="0" fontId="212" fillId="0" borderId="0" xfId="0" applyFont="1" applyAlignment="1">
      <alignment horizontal="left"/>
    </xf>
    <xf numFmtId="0" fontId="205" fillId="0" borderId="0" xfId="0" applyFont="1" applyAlignment="1" applyProtection="1">
      <alignment horizontal="left"/>
      <protection hidden="1"/>
    </xf>
    <xf numFmtId="168" fontId="205" fillId="0" borderId="0" xfId="43185" applyNumberFormat="1" applyFont="1" applyFill="1" applyBorder="1" applyAlignment="1" applyProtection="1">
      <alignment horizontal="right"/>
      <protection locked="0"/>
    </xf>
    <xf numFmtId="168" fontId="208" fillId="0" borderId="0" xfId="43183" applyNumberFormat="1" applyFont="1" applyFill="1" applyBorder="1" applyAlignment="1" applyProtection="1">
      <alignment vertical="center"/>
    </xf>
    <xf numFmtId="0" fontId="282" fillId="33" borderId="0" xfId="829" applyFont="1" applyFill="1" applyAlignment="1">
      <alignment horizontal="left" vertical="top"/>
    </xf>
    <xf numFmtId="0" fontId="276" fillId="33" borderId="0" xfId="829" applyFont="1" applyFill="1"/>
    <xf numFmtId="0" fontId="283" fillId="33" borderId="0" xfId="829" applyFont="1" applyFill="1"/>
    <xf numFmtId="0" fontId="283" fillId="0" borderId="0" xfId="0" applyFont="1"/>
    <xf numFmtId="0" fontId="284" fillId="33" borderId="0" xfId="829" applyFont="1" applyFill="1" applyAlignment="1">
      <alignment horizontal="right" vertical="top"/>
    </xf>
    <xf numFmtId="10" fontId="285" fillId="0" borderId="0" xfId="0" applyNumberFormat="1" applyFont="1" applyAlignment="1">
      <alignment horizontal="left" vertical="top"/>
    </xf>
    <xf numFmtId="0" fontId="284" fillId="33" borderId="0" xfId="829" applyFont="1" applyFill="1" applyAlignment="1">
      <alignment horizontal="left" vertical="top"/>
    </xf>
    <xf numFmtId="168" fontId="283" fillId="0" borderId="0" xfId="863" applyFont="1"/>
    <xf numFmtId="168" fontId="283" fillId="0" borderId="0" xfId="0" applyNumberFormat="1" applyFont="1"/>
    <xf numFmtId="0" fontId="288" fillId="0" borderId="0" xfId="0" applyFont="1"/>
    <xf numFmtId="0" fontId="283" fillId="118" borderId="0" xfId="0" applyFont="1" applyFill="1"/>
    <xf numFmtId="165" fontId="283" fillId="118" borderId="0" xfId="815" applyNumberFormat="1" applyFont="1" applyFill="1" applyBorder="1"/>
    <xf numFmtId="167" fontId="289" fillId="43" borderId="0" xfId="0" applyNumberFormat="1" applyFont="1" applyFill="1"/>
    <xf numFmtId="10" fontId="289" fillId="43" borderId="0" xfId="0" applyNumberFormat="1" applyFont="1" applyFill="1"/>
    <xf numFmtId="0" fontId="290" fillId="0" borderId="0" xfId="0" applyFont="1"/>
    <xf numFmtId="0" fontId="283" fillId="1" borderId="0" xfId="0" applyFont="1" applyFill="1"/>
    <xf numFmtId="0" fontId="283" fillId="42" borderId="0" xfId="0" applyFont="1" applyFill="1"/>
    <xf numFmtId="167" fontId="283" fillId="42" borderId="0" xfId="815" applyFont="1" applyFill="1" applyBorder="1"/>
    <xf numFmtId="0" fontId="280" fillId="0" borderId="0" xfId="0" applyFont="1"/>
    <xf numFmtId="0" fontId="30" fillId="0" borderId="0" xfId="0" applyFont="1" applyAlignment="1">
      <alignment horizontal="center" vertical="center"/>
    </xf>
    <xf numFmtId="0" fontId="30" fillId="116" borderId="161" xfId="0" applyFont="1" applyFill="1" applyBorder="1" applyAlignment="1">
      <alignment horizontal="center" vertical="distributed"/>
    </xf>
    <xf numFmtId="0" fontId="30" fillId="117" borderId="161" xfId="0" applyFont="1" applyFill="1" applyBorder="1" applyAlignment="1">
      <alignment horizontal="center" vertical="distributed"/>
    </xf>
    <xf numFmtId="0" fontId="30" fillId="117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0" fillId="42" borderId="0" xfId="847" applyNumberFormat="1" applyFont="1" applyFill="1" applyBorder="1" applyAlignment="1">
      <alignment horizontal="left"/>
    </xf>
    <xf numFmtId="230" fontId="30" fillId="42" borderId="0" xfId="863" applyNumberFormat="1" applyFont="1" applyFill="1" applyBorder="1" applyAlignment="1">
      <alignment horizontal="left"/>
    </xf>
    <xf numFmtId="0" fontId="116" fillId="99" borderId="0" xfId="907" applyFont="1" applyFill="1" applyAlignment="1">
      <alignment horizontal="center"/>
    </xf>
    <xf numFmtId="167" fontId="110" fillId="94" borderId="0" xfId="815" applyFont="1" applyFill="1" applyBorder="1" applyAlignment="1">
      <alignment horizontal="center" vertical="center" wrapText="1"/>
    </xf>
    <xf numFmtId="0" fontId="117" fillId="0" borderId="0" xfId="2697" applyFont="1" applyAlignment="1">
      <alignment horizontal="center" vertical="center" wrapText="1"/>
    </xf>
    <xf numFmtId="167" fontId="38" fillId="0" borderId="0" xfId="815" applyFont="1" applyFill="1" applyBorder="1" applyAlignment="1">
      <alignment horizontal="center" vertical="center" wrapText="1"/>
    </xf>
    <xf numFmtId="167" fontId="43" fillId="0" borderId="0" xfId="815" applyFont="1" applyFill="1" applyBorder="1" applyAlignment="1">
      <alignment wrapText="1"/>
    </xf>
    <xf numFmtId="167" fontId="43" fillId="0" borderId="0" xfId="815" applyFont="1" applyFill="1" applyBorder="1" applyAlignment="1"/>
    <xf numFmtId="9" fontId="110" fillId="0" borderId="0" xfId="1823" applyFont="1" applyFill="1" applyBorder="1" applyAlignment="1">
      <alignment horizontal="left" vertical="center" wrapText="1"/>
    </xf>
    <xf numFmtId="217" fontId="110" fillId="0" borderId="0" xfId="1823" applyNumberFormat="1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wrapText="1"/>
    </xf>
    <xf numFmtId="9" fontId="110" fillId="0" borderId="0" xfId="1823" applyFont="1" applyFill="1" applyBorder="1" applyAlignment="1">
      <alignment horizontal="center" vertical="center" wrapText="1"/>
    </xf>
    <xf numFmtId="0" fontId="43" fillId="41" borderId="106" xfId="907" applyFont="1" applyFill="1" applyBorder="1"/>
    <xf numFmtId="0" fontId="43" fillId="41" borderId="106" xfId="2697" applyFont="1" applyFill="1" applyBorder="1"/>
    <xf numFmtId="0" fontId="43" fillId="0" borderId="106" xfId="907" applyFont="1" applyBorder="1"/>
    <xf numFmtId="43" fontId="43" fillId="41" borderId="106" xfId="907" applyNumberFormat="1" applyFont="1" applyFill="1" applyBorder="1"/>
    <xf numFmtId="0" fontId="263" fillId="0" borderId="0" xfId="2697" applyFont="1"/>
    <xf numFmtId="0" fontId="146" fillId="41" borderId="0" xfId="36379" applyFont="1" applyFill="1" applyProtection="1">
      <protection locked="0"/>
    </xf>
    <xf numFmtId="0" fontId="43" fillId="41" borderId="0" xfId="36379" applyFont="1" applyFill="1"/>
    <xf numFmtId="0" fontId="291" fillId="41" borderId="0" xfId="36379" applyFont="1" applyFill="1" applyProtection="1">
      <protection locked="0"/>
    </xf>
    <xf numFmtId="10" fontId="30" fillId="0" borderId="0" xfId="847" applyNumberFormat="1" applyFont="1" applyAlignment="1">
      <alignment horizontal="center"/>
    </xf>
    <xf numFmtId="0" fontId="212" fillId="43" borderId="0" xfId="0" applyFont="1" applyFill="1" applyAlignment="1">
      <alignment horizontal="left"/>
    </xf>
    <xf numFmtId="10" fontId="205" fillId="45" borderId="0" xfId="847" applyNumberFormat="1" applyFont="1" applyFill="1" applyBorder="1"/>
    <xf numFmtId="262" fontId="205" fillId="0" borderId="152" xfId="847" applyNumberFormat="1" applyFont="1" applyFill="1" applyBorder="1"/>
    <xf numFmtId="22" fontId="43" fillId="0" borderId="0" xfId="0" applyNumberFormat="1" applyFont="1" applyAlignment="1">
      <alignment horizontal="right"/>
    </xf>
    <xf numFmtId="0" fontId="43" fillId="0" borderId="144" xfId="907" applyFont="1" applyBorder="1"/>
    <xf numFmtId="0" fontId="205" fillId="0" borderId="152" xfId="0" applyFont="1" applyBorder="1" applyAlignment="1">
      <alignment horizontal="center"/>
    </xf>
    <xf numFmtId="0" fontId="212" fillId="43" borderId="144" xfId="0" applyFont="1" applyFill="1" applyBorder="1" applyAlignment="1">
      <alignment horizontal="center"/>
    </xf>
    <xf numFmtId="0" fontId="208" fillId="56" borderId="156" xfId="834" applyFont="1" applyFill="1" applyBorder="1" applyAlignment="1" applyProtection="1">
      <alignment horizontal="left" vertical="center"/>
    </xf>
    <xf numFmtId="0" fontId="208" fillId="56" borderId="155" xfId="834" applyFont="1" applyFill="1" applyBorder="1" applyAlignment="1" applyProtection="1">
      <alignment horizontal="left" vertical="center"/>
    </xf>
    <xf numFmtId="10" fontId="205" fillId="0" borderId="152" xfId="847" applyNumberFormat="1" applyFont="1" applyFill="1" applyBorder="1"/>
    <xf numFmtId="0" fontId="242" fillId="41" borderId="0" xfId="831" applyFont="1" applyFill="1" applyAlignment="1">
      <alignment horizontal="left"/>
    </xf>
    <xf numFmtId="0" fontId="248" fillId="41" borderId="106" xfId="831" applyFont="1" applyFill="1" applyBorder="1" applyAlignment="1">
      <alignment horizontal="left"/>
    </xf>
    <xf numFmtId="0" fontId="243" fillId="41" borderId="0" xfId="831" applyFont="1" applyFill="1" applyAlignment="1">
      <alignment horizontal="left"/>
    </xf>
    <xf numFmtId="0" fontId="43" fillId="0" borderId="0" xfId="2697" applyFont="1" applyAlignment="1">
      <alignment horizontal="center"/>
    </xf>
    <xf numFmtId="0" fontId="117" fillId="55" borderId="163" xfId="2697" applyFont="1" applyFill="1" applyBorder="1" applyAlignment="1">
      <alignment horizontal="center" vertical="center" wrapText="1"/>
    </xf>
    <xf numFmtId="0" fontId="117" fillId="55" borderId="164" xfId="2697" applyFont="1" applyFill="1" applyBorder="1" applyAlignment="1">
      <alignment horizontal="center" vertical="center" wrapText="1"/>
    </xf>
    <xf numFmtId="269" fontId="43" fillId="0" borderId="20" xfId="43183" applyNumberFormat="1" applyFont="1" applyBorder="1" applyAlignment="1">
      <alignment vertical="center"/>
    </xf>
    <xf numFmtId="0" fontId="43" fillId="0" borderId="29" xfId="2697" applyFont="1" applyBorder="1" applyAlignment="1">
      <alignment vertical="center"/>
    </xf>
    <xf numFmtId="269" fontId="43" fillId="0" borderId="20" xfId="2697" applyNumberFormat="1" applyFont="1" applyBorder="1" applyAlignment="1">
      <alignment vertical="center"/>
    </xf>
    <xf numFmtId="269" fontId="43" fillId="0" borderId="10" xfId="2697" applyNumberFormat="1" applyFont="1" applyBorder="1" applyAlignment="1">
      <alignment vertical="center"/>
    </xf>
    <xf numFmtId="0" fontId="43" fillId="0" borderId="155" xfId="2697" applyFont="1" applyBorder="1" applyAlignment="1">
      <alignment vertical="center"/>
    </xf>
    <xf numFmtId="269" fontId="43" fillId="0" borderId="156" xfId="2697" applyNumberFormat="1" applyFont="1" applyBorder="1" applyAlignment="1">
      <alignment vertical="center"/>
    </xf>
    <xf numFmtId="0" fontId="117" fillId="55" borderId="0" xfId="2697" applyFont="1" applyFill="1" applyAlignment="1">
      <alignment horizontal="center" vertical="center" wrapText="1"/>
    </xf>
    <xf numFmtId="171" fontId="117" fillId="43" borderId="0" xfId="2697" applyNumberFormat="1" applyFont="1" applyFill="1" applyAlignment="1">
      <alignment horizontal="center" vertical="center" wrapText="1"/>
    </xf>
    <xf numFmtId="171" fontId="117" fillId="55" borderId="0" xfId="2697" applyNumberFormat="1" applyFont="1" applyFill="1" applyAlignment="1">
      <alignment horizontal="center" vertical="center" wrapText="1"/>
    </xf>
    <xf numFmtId="0" fontId="43" fillId="0" borderId="29" xfId="2697" applyFont="1" applyBorder="1"/>
    <xf numFmtId="0" fontId="43" fillId="0" borderId="10" xfId="2697" applyFont="1" applyBorder="1" applyAlignment="1">
      <alignment vertical="center"/>
    </xf>
    <xf numFmtId="270" fontId="43" fillId="0" borderId="0" xfId="2697" applyNumberFormat="1" applyFont="1" applyAlignment="1">
      <alignment vertical="center"/>
    </xf>
    <xf numFmtId="0" fontId="43" fillId="0" borderId="155" xfId="2697" applyFont="1" applyBorder="1"/>
    <xf numFmtId="0" fontId="43" fillId="0" borderId="20" xfId="2697" applyFont="1" applyBorder="1" applyAlignment="1">
      <alignment vertical="center"/>
    </xf>
    <xf numFmtId="270" fontId="43" fillId="119" borderId="20" xfId="2697" applyNumberFormat="1" applyFont="1" applyFill="1" applyBorder="1" applyAlignment="1">
      <alignment vertical="center"/>
    </xf>
    <xf numFmtId="270" fontId="43" fillId="119" borderId="0" xfId="2697" applyNumberFormat="1" applyFont="1" applyFill="1" applyAlignment="1">
      <alignment vertical="center"/>
    </xf>
    <xf numFmtId="270" fontId="43" fillId="119" borderId="156" xfId="2697" applyNumberFormat="1" applyFont="1" applyFill="1" applyBorder="1" applyAlignment="1">
      <alignment vertical="center"/>
    </xf>
    <xf numFmtId="0" fontId="43" fillId="0" borderId="152" xfId="0" applyFont="1" applyBorder="1"/>
    <xf numFmtId="0" fontId="268" fillId="0" borderId="152" xfId="0" applyFont="1" applyBorder="1"/>
    <xf numFmtId="0" fontId="268" fillId="99" borderId="152" xfId="0" applyFont="1" applyFill="1" applyBorder="1"/>
    <xf numFmtId="14" fontId="30" fillId="112" borderId="0" xfId="0" applyNumberFormat="1" applyFont="1" applyFill="1" applyAlignment="1">
      <alignment horizontal="right"/>
    </xf>
    <xf numFmtId="168" fontId="43" fillId="0" borderId="10" xfId="863" applyFont="1" applyBorder="1" applyAlignment="1">
      <alignment vertical="center"/>
    </xf>
    <xf numFmtId="0" fontId="292" fillId="0" borderId="152" xfId="907" applyFont="1" applyBorder="1" applyAlignment="1">
      <alignment horizontal="left"/>
    </xf>
    <xf numFmtId="10" fontId="43" fillId="0" borderId="152" xfId="907" applyNumberFormat="1" applyFont="1" applyBorder="1"/>
    <xf numFmtId="0" fontId="43" fillId="0" borderId="152" xfId="907" applyFont="1" applyBorder="1"/>
    <xf numFmtId="0" fontId="110" fillId="0" borderId="152" xfId="907" applyFont="1" applyBorder="1" applyAlignment="1">
      <alignment horizontal="left"/>
    </xf>
    <xf numFmtId="0" fontId="293" fillId="0" borderId="152" xfId="907" applyFont="1" applyBorder="1"/>
    <xf numFmtId="168" fontId="293" fillId="0" borderId="152" xfId="863" applyFont="1" applyFill="1" applyBorder="1"/>
    <xf numFmtId="0" fontId="43" fillId="41" borderId="152" xfId="907" applyFont="1" applyFill="1" applyBorder="1"/>
    <xf numFmtId="0" fontId="43" fillId="0" borderId="152" xfId="907" applyFont="1" applyBorder="1" applyAlignment="1">
      <alignment horizontal="center"/>
    </xf>
    <xf numFmtId="4" fontId="43" fillId="0" borderId="152" xfId="815" applyNumberFormat="1" applyFont="1" applyFill="1" applyBorder="1"/>
    <xf numFmtId="22" fontId="43" fillId="0" borderId="0" xfId="907" applyNumberFormat="1" applyFont="1"/>
    <xf numFmtId="22" fontId="43" fillId="0" borderId="152" xfId="907" applyNumberFormat="1" applyFont="1" applyBorder="1"/>
    <xf numFmtId="168" fontId="211" fillId="0" borderId="0" xfId="863" applyFont="1" applyBorder="1" applyAlignment="1">
      <alignment horizontal="right" vertical="center"/>
    </xf>
    <xf numFmtId="43" fontId="283" fillId="0" borderId="0" xfId="0" applyNumberFormat="1" applyFont="1"/>
    <xf numFmtId="0" fontId="205" fillId="0" borderId="166" xfId="0" applyFont="1" applyBorder="1"/>
    <xf numFmtId="0" fontId="212" fillId="0" borderId="166" xfId="0" applyFont="1" applyBorder="1" applyAlignment="1">
      <alignment horizontal="center"/>
    </xf>
    <xf numFmtId="167" fontId="208" fillId="0" borderId="166" xfId="0" applyNumberFormat="1" applyFont="1" applyBorder="1" applyProtection="1">
      <protection hidden="1"/>
    </xf>
    <xf numFmtId="0" fontId="240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49" fontId="30" fillId="0" borderId="0" xfId="0" applyNumberFormat="1" applyFont="1" applyAlignment="1">
      <alignment horizontal="center" vertical="distributed"/>
    </xf>
    <xf numFmtId="14" fontId="30" fillId="0" borderId="0" xfId="0" applyNumberFormat="1" applyFont="1" applyAlignment="1">
      <alignment horizontal="center" vertical="distributed"/>
    </xf>
    <xf numFmtId="0" fontId="235" fillId="42" borderId="0" xfId="0" applyFont="1" applyFill="1"/>
    <xf numFmtId="171" fontId="30" fillId="111" borderId="167" xfId="907" applyNumberFormat="1" applyFill="1" applyBorder="1"/>
    <xf numFmtId="171" fontId="30" fillId="111" borderId="170" xfId="907" applyNumberFormat="1" applyFill="1" applyBorder="1"/>
    <xf numFmtId="171" fontId="30" fillId="59" borderId="170" xfId="907" applyNumberFormat="1" applyFill="1" applyBorder="1"/>
    <xf numFmtId="171" fontId="30" fillId="59" borderId="172" xfId="907" applyNumberFormat="1" applyFill="1" applyBorder="1"/>
    <xf numFmtId="0" fontId="272" fillId="43" borderId="167" xfId="0" applyFont="1" applyFill="1" applyBorder="1" applyAlignment="1">
      <alignment horizontal="center" vertical="center" wrapText="1"/>
    </xf>
    <xf numFmtId="0" fontId="272" fillId="43" borderId="174" xfId="0" applyFont="1" applyFill="1" applyBorder="1" applyAlignment="1">
      <alignment horizontal="center" vertical="center" wrapText="1"/>
    </xf>
    <xf numFmtId="0" fontId="272" fillId="43" borderId="169" xfId="0" applyFont="1" applyFill="1" applyBorder="1" applyAlignment="1">
      <alignment vertical="center" wrapText="1"/>
    </xf>
    <xf numFmtId="171" fontId="30" fillId="111" borderId="172" xfId="907" applyNumberFormat="1" applyFill="1" applyBorder="1"/>
    <xf numFmtId="167" fontId="30" fillId="112" borderId="171" xfId="815" applyFont="1" applyFill="1" applyBorder="1" applyAlignment="1">
      <alignment horizontal="center" vertical="center"/>
    </xf>
    <xf numFmtId="168" fontId="233" fillId="0" borderId="0" xfId="863" quotePrefix="1" applyFont="1"/>
    <xf numFmtId="0" fontId="36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8" fillId="41" borderId="178" xfId="863" applyFont="1" applyFill="1" applyBorder="1"/>
    <xf numFmtId="272" fontId="208" fillId="41" borderId="178" xfId="863" applyNumberFormat="1" applyFont="1" applyFill="1" applyBorder="1"/>
    <xf numFmtId="167" fontId="30" fillId="44" borderId="173" xfId="815" applyFont="1" applyFill="1" applyBorder="1" applyAlignment="1">
      <alignment horizontal="center" vertical="center"/>
    </xf>
    <xf numFmtId="167" fontId="30" fillId="44" borderId="176" xfId="815" applyFont="1" applyFill="1" applyBorder="1" applyAlignment="1">
      <alignment horizontal="center" vertical="center"/>
    </xf>
    <xf numFmtId="0" fontId="208" fillId="41" borderId="178" xfId="0" applyFont="1" applyFill="1" applyBorder="1" applyAlignment="1">
      <alignment horizontal="right"/>
    </xf>
    <xf numFmtId="0" fontId="208" fillId="41" borderId="178" xfId="0" applyFont="1" applyFill="1" applyBorder="1" applyAlignment="1">
      <alignment horizontal="left"/>
    </xf>
    <xf numFmtId="0" fontId="205" fillId="41" borderId="178" xfId="0" applyFont="1" applyFill="1" applyBorder="1" applyAlignment="1">
      <alignment horizontal="right"/>
    </xf>
    <xf numFmtId="168" fontId="208" fillId="41" borderId="178" xfId="0" applyNumberFormat="1" applyFont="1" applyFill="1" applyBorder="1"/>
    <xf numFmtId="167" fontId="30" fillId="44" borderId="179" xfId="815" applyFont="1" applyFill="1" applyBorder="1" applyAlignment="1">
      <alignment horizontal="center" vertical="center"/>
    </xf>
    <xf numFmtId="167" fontId="30" fillId="44" borderId="180" xfId="815" applyFont="1" applyFill="1" applyBorder="1" applyAlignment="1">
      <alignment horizontal="center" vertical="center"/>
    </xf>
    <xf numFmtId="167" fontId="30" fillId="59" borderId="179" xfId="815" applyFont="1" applyFill="1" applyBorder="1" applyAlignment="1">
      <alignment horizontal="center" vertical="center"/>
    </xf>
    <xf numFmtId="167" fontId="30" fillId="59" borderId="173" xfId="815" applyFont="1" applyFill="1" applyBorder="1" applyAlignment="1">
      <alignment horizontal="center" vertical="center"/>
    </xf>
    <xf numFmtId="167" fontId="30" fillId="59" borderId="180" xfId="815" applyFont="1" applyFill="1" applyBorder="1" applyAlignment="1">
      <alignment horizontal="center" vertical="center"/>
    </xf>
    <xf numFmtId="0" fontId="205" fillId="0" borderId="0" xfId="847" applyNumberFormat="1" applyFont="1" applyFill="1" applyBorder="1" applyAlignment="1">
      <alignment horizontal="right"/>
    </xf>
    <xf numFmtId="0" fontId="43" fillId="0" borderId="160" xfId="0" applyFont="1" applyBorder="1"/>
    <xf numFmtId="0" fontId="43" fillId="0" borderId="153" xfId="0" applyFont="1" applyBorder="1"/>
    <xf numFmtId="4" fontId="237" fillId="0" borderId="20" xfId="0" applyNumberFormat="1" applyFont="1" applyBorder="1" applyAlignment="1">
      <alignment horizontal="right" vertical="center"/>
    </xf>
    <xf numFmtId="167" fontId="30" fillId="112" borderId="180" xfId="815" applyFont="1" applyFill="1" applyBorder="1" applyAlignment="1">
      <alignment horizontal="center" vertical="center"/>
    </xf>
    <xf numFmtId="0" fontId="30" fillId="59" borderId="166" xfId="907" applyFill="1" applyBorder="1"/>
    <xf numFmtId="0" fontId="30" fillId="59" borderId="178" xfId="907" applyFill="1" applyBorder="1"/>
    <xf numFmtId="217" fontId="43" fillId="41" borderId="0" xfId="847" applyNumberFormat="1" applyFont="1" applyFill="1" applyBorder="1" applyAlignment="1">
      <alignment horizontal="center"/>
    </xf>
    <xf numFmtId="0" fontId="30" fillId="112" borderId="166" xfId="0" applyFont="1" applyFill="1" applyBorder="1" applyAlignment="1">
      <alignment horizontal="left" wrapText="1"/>
    </xf>
    <xf numFmtId="14" fontId="30" fillId="112" borderId="178" xfId="0" applyNumberFormat="1" applyFont="1" applyFill="1" applyBorder="1" applyAlignment="1">
      <alignment horizontal="left" wrapText="1"/>
    </xf>
    <xf numFmtId="0" fontId="30" fillId="112" borderId="144" xfId="0" applyFont="1" applyFill="1" applyBorder="1" applyAlignment="1">
      <alignment horizontal="left" wrapText="1"/>
    </xf>
    <xf numFmtId="0" fontId="205" fillId="0" borderId="0" xfId="863" applyNumberFormat="1" applyFont="1" applyFill="1" applyBorder="1"/>
    <xf numFmtId="0" fontId="205" fillId="0" borderId="0" xfId="815" applyNumberFormat="1" applyFont="1" applyFill="1" applyBorder="1"/>
    <xf numFmtId="273" fontId="205" fillId="120" borderId="0" xfId="847" applyNumberFormat="1" applyFont="1" applyFill="1"/>
    <xf numFmtId="168" fontId="0" fillId="0" borderId="0" xfId="0" applyNumberFormat="1"/>
    <xf numFmtId="0" fontId="195" fillId="0" borderId="0" xfId="0" applyFont="1" applyAlignment="1">
      <alignment vertical="center"/>
    </xf>
    <xf numFmtId="0" fontId="30" fillId="0" borderId="178" xfId="0" applyFont="1" applyBorder="1"/>
    <xf numFmtId="167" fontId="30" fillId="42" borderId="178" xfId="815" applyFont="1" applyFill="1" applyBorder="1" applyAlignment="1">
      <alignment horizontal="left"/>
    </xf>
    <xf numFmtId="168" fontId="43" fillId="0" borderId="0" xfId="0" applyNumberFormat="1" applyFont="1"/>
    <xf numFmtId="0" fontId="30" fillId="0" borderId="0" xfId="0" applyFont="1" applyAlignment="1">
      <alignment horizontal="right"/>
    </xf>
    <xf numFmtId="168" fontId="43" fillId="41" borderId="0" xfId="863" applyFont="1" applyFill="1" applyBorder="1" applyAlignment="1"/>
    <xf numFmtId="14" fontId="30" fillId="0" borderId="106" xfId="0" applyNumberFormat="1" applyFont="1" applyBorder="1"/>
    <xf numFmtId="14" fontId="43" fillId="0" borderId="0" xfId="847" applyNumberFormat="1" applyFont="1"/>
    <xf numFmtId="14" fontId="275" fillId="114" borderId="16" xfId="0" applyNumberFormat="1" applyFont="1" applyFill="1" applyBorder="1"/>
    <xf numFmtId="14" fontId="237" fillId="0" borderId="0" xfId="863" applyNumberFormat="1" applyFont="1" applyFill="1" applyBorder="1" applyAlignment="1">
      <alignment horizontal="center" vertical="center" wrapText="1"/>
    </xf>
    <xf numFmtId="14" fontId="246" fillId="0" borderId="0" xfId="43183" applyNumberFormat="1" applyFont="1" applyFill="1" applyBorder="1"/>
    <xf numFmtId="9" fontId="283" fillId="0" borderId="0" xfId="847" applyFont="1"/>
    <xf numFmtId="4" fontId="0" fillId="0" borderId="0" xfId="0" applyNumberFormat="1" applyAlignment="1">
      <alignment horizontal="center" vertical="center"/>
    </xf>
    <xf numFmtId="274" fontId="205" fillId="41" borderId="0" xfId="863" applyNumberFormat="1" applyFont="1" applyFill="1" applyBorder="1" applyAlignment="1">
      <alignment horizontal="right"/>
    </xf>
    <xf numFmtId="168" fontId="216" fillId="0" borderId="0" xfId="863" applyFont="1"/>
    <xf numFmtId="168" fontId="219" fillId="0" borderId="0" xfId="863" applyFont="1"/>
    <xf numFmtId="10" fontId="208" fillId="0" borderId="0" xfId="847" applyNumberFormat="1" applyFont="1"/>
    <xf numFmtId="0" fontId="0" fillId="0" borderId="181" xfId="0" applyBorder="1"/>
    <xf numFmtId="0" fontId="0" fillId="0" borderId="182" xfId="0" applyBorder="1"/>
    <xf numFmtId="14" fontId="30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3" fillId="41" borderId="0" xfId="847" applyNumberFormat="1" applyFont="1" applyFill="1" applyBorder="1"/>
    <xf numFmtId="168" fontId="210" fillId="0" borderId="0" xfId="831" applyNumberFormat="1" applyFont="1" applyAlignment="1">
      <alignment vertical="center"/>
    </xf>
    <xf numFmtId="0" fontId="272" fillId="0" borderId="144" xfId="0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distributed"/>
    </xf>
    <xf numFmtId="10" fontId="116" fillId="0" borderId="0" xfId="847" applyNumberFormat="1" applyFont="1" applyAlignment="1">
      <alignment horizontal="center"/>
    </xf>
    <xf numFmtId="0" fontId="267" fillId="103" borderId="152" xfId="0" applyFont="1" applyFill="1" applyBorder="1" applyAlignment="1">
      <alignment horizontal="center" vertical="distributed"/>
    </xf>
    <xf numFmtId="168" fontId="116" fillId="0" borderId="0" xfId="863" quotePrefix="1" applyFont="1"/>
    <xf numFmtId="2" fontId="30" fillId="0" borderId="0" xfId="0" applyNumberFormat="1" applyFont="1" applyAlignment="1">
      <alignment horizontal="center"/>
    </xf>
    <xf numFmtId="10" fontId="30" fillId="0" borderId="0" xfId="847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/>
    </xf>
    <xf numFmtId="10" fontId="30" fillId="0" borderId="0" xfId="847" applyNumberFormat="1" applyFont="1" applyBorder="1" applyAlignment="1">
      <alignment horizontal="center" vertical="distributed"/>
    </xf>
    <xf numFmtId="168" fontId="30" fillId="0" borderId="0" xfId="863" applyFont="1" applyAlignment="1">
      <alignment horizontal="center" vertical="distributed"/>
    </xf>
    <xf numFmtId="10" fontId="30" fillId="0" borderId="0" xfId="0" applyNumberFormat="1" applyFont="1" applyAlignment="1">
      <alignment horizontal="center" vertical="distributed"/>
    </xf>
    <xf numFmtId="9" fontId="30" fillId="0" borderId="0" xfId="0" applyNumberFormat="1" applyFont="1"/>
    <xf numFmtId="14" fontId="30" fillId="0" borderId="0" xfId="863" applyNumberFormat="1" applyFont="1" applyAlignment="1">
      <alignment horizontal="center"/>
    </xf>
    <xf numFmtId="0" fontId="30" fillId="0" borderId="152" xfId="0" applyFont="1" applyBorder="1" applyAlignment="1">
      <alignment horizontal="center" vertical="distributed"/>
    </xf>
    <xf numFmtId="168" fontId="30" fillId="0" borderId="0" xfId="0" applyNumberFormat="1" applyFont="1" applyAlignment="1">
      <alignment horizontal="center" vertical="distributed"/>
    </xf>
    <xf numFmtId="168" fontId="30" fillId="0" borderId="0" xfId="863" applyFont="1" applyBorder="1" applyAlignment="1">
      <alignment horizontal="center" vertical="distributed"/>
    </xf>
    <xf numFmtId="9" fontId="30" fillId="0" borderId="0" xfId="847" applyFont="1" applyAlignment="1">
      <alignment horizontal="center" vertical="distributed"/>
    </xf>
    <xf numFmtId="9" fontId="30" fillId="0" borderId="0" xfId="0" applyNumberFormat="1" applyFont="1" applyAlignment="1">
      <alignment horizontal="center" vertical="distributed"/>
    </xf>
    <xf numFmtId="0" fontId="30" fillId="0" borderId="0" xfId="0" quotePrefix="1" applyFont="1"/>
    <xf numFmtId="168" fontId="30" fillId="61" borderId="144" xfId="863" applyFont="1" applyFill="1" applyBorder="1" applyAlignment="1">
      <alignment horizontal="right"/>
    </xf>
    <xf numFmtId="168" fontId="30" fillId="61" borderId="0" xfId="863" applyFont="1" applyFill="1" applyBorder="1" applyAlignment="1">
      <alignment horizontal="right"/>
    </xf>
    <xf numFmtId="168" fontId="30" fillId="0" borderId="0" xfId="0" applyNumberFormat="1" applyFont="1"/>
    <xf numFmtId="0" fontId="36" fillId="0" borderId="178" xfId="0" applyFont="1" applyBorder="1"/>
    <xf numFmtId="0" fontId="205" fillId="0" borderId="178" xfId="0" applyFont="1" applyBorder="1"/>
    <xf numFmtId="0" fontId="295" fillId="122" borderId="156" xfId="907" applyFont="1" applyFill="1" applyBorder="1"/>
    <xf numFmtId="0" fontId="296" fillId="59" borderId="0" xfId="0" applyFont="1" applyFill="1" applyAlignment="1">
      <alignment horizontal="left"/>
    </xf>
    <xf numFmtId="43" fontId="295" fillId="119" borderId="0" xfId="43408" applyFont="1" applyFill="1"/>
    <xf numFmtId="205" fontId="0" fillId="0" borderId="0" xfId="0" applyNumberFormat="1"/>
    <xf numFmtId="168" fontId="205" fillId="42" borderId="0" xfId="863" applyFont="1" applyFill="1"/>
    <xf numFmtId="14" fontId="205" fillId="42" borderId="0" xfId="847" applyNumberFormat="1" applyFont="1" applyFill="1"/>
    <xf numFmtId="14" fontId="205" fillId="42" borderId="0" xfId="0" applyNumberFormat="1" applyFont="1" applyFill="1"/>
    <xf numFmtId="167" fontId="205" fillId="112" borderId="0" xfId="815" applyFont="1" applyFill="1"/>
    <xf numFmtId="168" fontId="208" fillId="59" borderId="0" xfId="863" applyFont="1" applyFill="1"/>
    <xf numFmtId="0" fontId="295" fillId="0" borderId="0" xfId="907" applyFont="1"/>
    <xf numFmtId="217" fontId="296" fillId="0" borderId="0" xfId="847" applyNumberFormat="1" applyFont="1" applyFill="1" applyBorder="1"/>
    <xf numFmtId="43" fontId="296" fillId="0" borderId="0" xfId="43408" applyFont="1" applyFill="1" applyBorder="1"/>
    <xf numFmtId="43" fontId="295" fillId="0" borderId="0" xfId="43408" applyFont="1" applyFill="1" applyBorder="1"/>
    <xf numFmtId="167" fontId="296" fillId="0" borderId="0" xfId="815" applyFont="1" applyFill="1" applyBorder="1"/>
    <xf numFmtId="0" fontId="296" fillId="0" borderId="0" xfId="0" applyFont="1"/>
    <xf numFmtId="0" fontId="296" fillId="0" borderId="0" xfId="0" applyFont="1" applyAlignment="1">
      <alignment horizontal="left"/>
    </xf>
    <xf numFmtId="275" fontId="296" fillId="0" borderId="0" xfId="815" applyNumberFormat="1" applyFont="1" applyFill="1" applyBorder="1"/>
    <xf numFmtId="168" fontId="205" fillId="112" borderId="0" xfId="863" applyFont="1" applyFill="1"/>
    <xf numFmtId="0" fontId="295" fillId="0" borderId="20" xfId="907" applyFont="1" applyBorder="1"/>
    <xf numFmtId="217" fontId="296" fillId="0" borderId="0" xfId="847" applyNumberFormat="1" applyFont="1" applyFill="1"/>
    <xf numFmtId="43" fontId="295" fillId="0" borderId="0" xfId="43408" applyFont="1" applyFill="1"/>
    <xf numFmtId="43" fontId="295" fillId="0" borderId="29" xfId="43408" applyFont="1" applyFill="1" applyBorder="1"/>
    <xf numFmtId="0" fontId="295" fillId="0" borderId="156" xfId="907" applyFont="1" applyBorder="1"/>
    <xf numFmtId="43" fontId="205" fillId="0" borderId="0" xfId="907" applyNumberFormat="1" applyFont="1"/>
    <xf numFmtId="170" fontId="205" fillId="42" borderId="0" xfId="863" applyNumberFormat="1" applyFont="1" applyFill="1" applyBorder="1" applyAlignment="1">
      <alignment horizontal="right"/>
    </xf>
    <xf numFmtId="43" fontId="205" fillId="42" borderId="0" xfId="863" applyNumberFormat="1" applyFont="1" applyFill="1" applyAlignment="1">
      <alignment horizontal="right"/>
    </xf>
    <xf numFmtId="275" fontId="296" fillId="42" borderId="0" xfId="815" applyNumberFormat="1" applyFont="1" applyFill="1"/>
    <xf numFmtId="168" fontId="208" fillId="0" borderId="0" xfId="863" applyFont="1"/>
    <xf numFmtId="14" fontId="30" fillId="0" borderId="29" xfId="0" applyNumberFormat="1" applyFont="1" applyBorder="1"/>
    <xf numFmtId="167" fontId="205" fillId="42" borderId="0" xfId="815" applyFont="1" applyFill="1" applyBorder="1"/>
    <xf numFmtId="40" fontId="120" fillId="0" borderId="152" xfId="0" applyNumberFormat="1" applyFont="1" applyBorder="1" applyAlignment="1">
      <alignment horizontal="center" vertical="center"/>
    </xf>
    <xf numFmtId="0" fontId="30" fillId="0" borderId="156" xfId="0" applyFont="1" applyBorder="1" applyAlignment="1">
      <alignment horizontal="right"/>
    </xf>
    <xf numFmtId="0" fontId="43" fillId="0" borderId="152" xfId="43433" quotePrefix="1" applyFont="1" applyBorder="1"/>
    <xf numFmtId="43" fontId="244" fillId="0" borderId="152" xfId="43431" applyFont="1" applyBorder="1"/>
    <xf numFmtId="43" fontId="244" fillId="114" borderId="152" xfId="43431" applyFont="1" applyFill="1" applyBorder="1"/>
    <xf numFmtId="4" fontId="43" fillId="42" borderId="152" xfId="815" applyNumberFormat="1" applyFont="1" applyFill="1" applyBorder="1"/>
    <xf numFmtId="168" fontId="30" fillId="112" borderId="0" xfId="863" applyFont="1" applyFill="1" applyAlignment="1">
      <alignment horizontal="center" vertical="distributed"/>
    </xf>
    <xf numFmtId="14" fontId="30" fillId="112" borderId="0" xfId="0" applyNumberFormat="1" applyFont="1" applyFill="1" applyAlignment="1">
      <alignment horizontal="center" vertical="distributed"/>
    </xf>
    <xf numFmtId="167" fontId="205" fillId="112" borderId="0" xfId="815" applyFont="1" applyFill="1" applyBorder="1"/>
    <xf numFmtId="168" fontId="0" fillId="0" borderId="0" xfId="863" applyFont="1" applyFill="1"/>
    <xf numFmtId="168" fontId="30" fillId="112" borderId="0" xfId="0" applyNumberFormat="1" applyFont="1" applyFill="1" applyAlignment="1">
      <alignment horizontal="center" vertical="distributed"/>
    </xf>
    <xf numFmtId="168" fontId="0" fillId="112" borderId="0" xfId="863" applyFont="1" applyFill="1"/>
    <xf numFmtId="0" fontId="302" fillId="0" borderId="0" xfId="0" applyFont="1"/>
    <xf numFmtId="168" fontId="30" fillId="112" borderId="178" xfId="863" applyFont="1" applyFill="1" applyBorder="1"/>
    <xf numFmtId="168" fontId="30" fillId="112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0" fontId="30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4" fillId="0" borderId="152" xfId="43431" applyFont="1" applyFill="1" applyBorder="1"/>
    <xf numFmtId="167" fontId="30" fillId="112" borderId="183" xfId="815" applyFont="1" applyFill="1" applyBorder="1" applyAlignment="1">
      <alignment horizontal="center" vertical="center"/>
    </xf>
    <xf numFmtId="168" fontId="283" fillId="0" borderId="0" xfId="863" applyFont="1" applyFill="1" applyBorder="1"/>
    <xf numFmtId="168" fontId="283" fillId="118" borderId="0" xfId="863" applyFont="1" applyFill="1" applyBorder="1"/>
    <xf numFmtId="168" fontId="283" fillId="44" borderId="0" xfId="863" applyFont="1" applyFill="1" applyBorder="1"/>
    <xf numFmtId="197" fontId="205" fillId="61" borderId="0" xfId="0" applyNumberFormat="1" applyFont="1" applyFill="1"/>
    <xf numFmtId="171" fontId="205" fillId="61" borderId="0" xfId="0" applyNumberFormat="1" applyFont="1" applyFill="1"/>
    <xf numFmtId="167" fontId="205" fillId="61" borderId="10" xfId="815" applyFont="1" applyFill="1" applyBorder="1"/>
    <xf numFmtId="167" fontId="205" fillId="61" borderId="29" xfId="815" applyFont="1" applyFill="1" applyBorder="1"/>
    <xf numFmtId="167" fontId="205" fillId="61" borderId="20" xfId="815" applyFont="1" applyFill="1" applyBorder="1"/>
    <xf numFmtId="167" fontId="205" fillId="61" borderId="0" xfId="815" applyFont="1" applyFill="1" applyBorder="1"/>
    <xf numFmtId="0" fontId="205" fillId="61" borderId="0" xfId="0" applyFont="1" applyFill="1"/>
    <xf numFmtId="167" fontId="30" fillId="59" borderId="183" xfId="815" applyFont="1" applyFill="1" applyBorder="1" applyAlignment="1">
      <alignment horizontal="center" vertical="center"/>
    </xf>
    <xf numFmtId="0" fontId="36" fillId="0" borderId="0" xfId="2697" applyFont="1"/>
    <xf numFmtId="9" fontId="36" fillId="103" borderId="0" xfId="2697" applyNumberFormat="1" applyFont="1" applyFill="1"/>
    <xf numFmtId="0" fontId="272" fillId="101" borderId="0" xfId="2697" applyFont="1" applyFill="1"/>
    <xf numFmtId="168" fontId="30" fillId="0" borderId="0" xfId="2697" applyNumberFormat="1"/>
    <xf numFmtId="0" fontId="2" fillId="0" borderId="0" xfId="43435"/>
    <xf numFmtId="43" fontId="0" fillId="0" borderId="0" xfId="43436" applyFont="1"/>
    <xf numFmtId="277" fontId="2" fillId="0" borderId="0" xfId="43435" applyNumberFormat="1"/>
    <xf numFmtId="167" fontId="283" fillId="0" borderId="0" xfId="815" applyFont="1" applyFill="1" applyBorder="1"/>
    <xf numFmtId="168" fontId="43" fillId="41" borderId="0" xfId="863" applyFont="1" applyFill="1" applyBorder="1" applyAlignment="1">
      <alignment horizontal="right" vertical="center" wrapText="1"/>
    </xf>
    <xf numFmtId="168" fontId="43" fillId="0" borderId="0" xfId="863" applyFont="1" applyFill="1" applyBorder="1" applyAlignment="1">
      <alignment horizontal="right" vertical="center" wrapText="1"/>
    </xf>
    <xf numFmtId="0" fontId="30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3" fillId="41" borderId="0" xfId="863" applyNumberFormat="1" applyFont="1" applyFill="1" applyBorder="1"/>
    <xf numFmtId="4" fontId="205" fillId="0" borderId="0" xfId="0" applyNumberFormat="1" applyFont="1"/>
    <xf numFmtId="171" fontId="117" fillId="0" borderId="0" xfId="2697" applyNumberFormat="1" applyFont="1" applyAlignment="1">
      <alignment horizontal="center" vertical="center" wrapText="1"/>
    </xf>
    <xf numFmtId="0" fontId="304" fillId="0" borderId="0" xfId="0" applyFont="1"/>
    <xf numFmtId="270" fontId="43" fillId="119" borderId="178" xfId="2697" applyNumberFormat="1" applyFont="1" applyFill="1" applyBorder="1" applyAlignment="1">
      <alignment vertical="center"/>
    </xf>
    <xf numFmtId="0" fontId="303" fillId="0" borderId="0" xfId="2697" applyFont="1" applyAlignment="1">
      <alignment horizontal="center" vertical="center" wrapText="1"/>
    </xf>
    <xf numFmtId="168" fontId="43" fillId="0" borderId="0" xfId="863" applyFont="1" applyFill="1" applyBorder="1"/>
    <xf numFmtId="269" fontId="43" fillId="0" borderId="0" xfId="2697" applyNumberFormat="1" applyFont="1" applyAlignment="1">
      <alignment vertical="center"/>
    </xf>
    <xf numFmtId="271" fontId="43" fillId="0" borderId="0" xfId="2697" applyNumberFormat="1" applyFont="1" applyAlignment="1">
      <alignment vertical="center"/>
    </xf>
    <xf numFmtId="270" fontId="110" fillId="0" borderId="0" xfId="43183" applyNumberFormat="1" applyFont="1" applyFill="1" applyBorder="1" applyAlignment="1">
      <alignment vertical="center"/>
    </xf>
    <xf numFmtId="0" fontId="250" fillId="0" borderId="0" xfId="0" applyFont="1"/>
    <xf numFmtId="0" fontId="250" fillId="0" borderId="0" xfId="0" applyFont="1" applyAlignment="1">
      <alignment vertical="center"/>
    </xf>
    <xf numFmtId="0" fontId="250" fillId="119" borderId="0" xfId="0" applyFont="1" applyFill="1" applyAlignment="1">
      <alignment vertical="center"/>
    </xf>
    <xf numFmtId="174" fontId="250" fillId="119" borderId="0" xfId="0" applyNumberFormat="1" applyFont="1" applyFill="1" applyAlignment="1">
      <alignment vertical="center"/>
    </xf>
    <xf numFmtId="0" fontId="250" fillId="0" borderId="0" xfId="907" applyFont="1"/>
    <xf numFmtId="168" fontId="250" fillId="0" borderId="0" xfId="863" applyFont="1"/>
    <xf numFmtId="0" fontId="251" fillId="0" borderId="0" xfId="907" applyFont="1"/>
    <xf numFmtId="0" fontId="205" fillId="0" borderId="0" xfId="0" applyFont="1" applyAlignment="1">
      <alignment vertical="center"/>
    </xf>
    <xf numFmtId="14" fontId="250" fillId="119" borderId="0" xfId="0" applyNumberFormat="1" applyFont="1" applyFill="1" applyAlignment="1">
      <alignment vertical="center"/>
    </xf>
    <xf numFmtId="0" fontId="43" fillId="33" borderId="0" xfId="43437" applyFont="1" applyFill="1" applyAlignment="1">
      <alignment vertical="center"/>
    </xf>
    <xf numFmtId="0" fontId="43" fillId="33" borderId="0" xfId="43437" applyFont="1" applyFill="1" applyAlignment="1">
      <alignment vertical="center" wrapText="1"/>
    </xf>
    <xf numFmtId="0" fontId="305" fillId="33" borderId="178" xfId="43437" applyFont="1" applyFill="1" applyBorder="1" applyAlignment="1">
      <alignment horizontal="left" vertical="center"/>
    </xf>
    <xf numFmtId="0" fontId="250" fillId="33" borderId="178" xfId="43437" applyFont="1" applyFill="1" applyBorder="1" applyAlignment="1">
      <alignment vertical="center" wrapText="1"/>
    </xf>
    <xf numFmtId="0" fontId="43" fillId="33" borderId="178" xfId="43437" applyFont="1" applyFill="1" applyBorder="1" applyAlignment="1">
      <alignment vertical="center"/>
    </xf>
    <xf numFmtId="0" fontId="250" fillId="33" borderId="178" xfId="43437" applyFont="1" applyFill="1" applyBorder="1" applyAlignment="1">
      <alignment horizontal="right" vertical="center"/>
    </xf>
    <xf numFmtId="10" fontId="250" fillId="33" borderId="178" xfId="847" applyNumberFormat="1" applyFont="1" applyFill="1" applyBorder="1" applyAlignment="1">
      <alignment vertical="center"/>
    </xf>
    <xf numFmtId="0" fontId="250" fillId="33" borderId="0" xfId="43437" applyFont="1" applyFill="1" applyAlignment="1">
      <alignment vertical="center"/>
    </xf>
    <xf numFmtId="0" fontId="306" fillId="0" borderId="0" xfId="2697" applyFont="1" applyAlignment="1">
      <alignment vertical="center"/>
    </xf>
    <xf numFmtId="0" fontId="250" fillId="33" borderId="0" xfId="43437" applyFont="1" applyFill="1" applyAlignment="1">
      <alignment vertical="center" wrapText="1"/>
    </xf>
    <xf numFmtId="0" fontId="250" fillId="33" borderId="0" xfId="43437" applyFont="1" applyFill="1" applyAlignment="1">
      <alignment horizontal="right" vertical="center"/>
    </xf>
    <xf numFmtId="10" fontId="250" fillId="33" borderId="0" xfId="847" applyNumberFormat="1" applyFont="1" applyFill="1" applyAlignment="1">
      <alignment vertical="center"/>
    </xf>
    <xf numFmtId="0" fontId="307" fillId="33" borderId="0" xfId="43437" applyFont="1" applyFill="1" applyAlignment="1">
      <alignment horizontal="right" vertical="center"/>
    </xf>
    <xf numFmtId="168" fontId="250" fillId="33" borderId="0" xfId="43437" applyNumberFormat="1" applyFont="1" applyFill="1" applyAlignment="1">
      <alignment vertical="center" wrapText="1"/>
    </xf>
    <xf numFmtId="0" fontId="308" fillId="33" borderId="0" xfId="43437" applyFont="1" applyFill="1" applyAlignment="1">
      <alignment horizontal="right" vertical="center"/>
    </xf>
    <xf numFmtId="0" fontId="309" fillId="33" borderId="0" xfId="43437" applyFont="1" applyFill="1" applyAlignment="1">
      <alignment vertical="center"/>
    </xf>
    <xf numFmtId="0" fontId="309" fillId="33" borderId="0" xfId="43437" applyFont="1" applyFill="1" applyAlignment="1">
      <alignment vertical="center" wrapText="1"/>
    </xf>
    <xf numFmtId="0" fontId="310" fillId="33" borderId="0" xfId="43437" applyFont="1" applyFill="1" applyAlignment="1">
      <alignment vertical="center"/>
    </xf>
    <xf numFmtId="0" fontId="311" fillId="33" borderId="0" xfId="43437" applyFont="1" applyFill="1" applyAlignment="1">
      <alignment vertical="center"/>
    </xf>
    <xf numFmtId="0" fontId="309" fillId="33" borderId="0" xfId="43437" applyFont="1" applyFill="1" applyAlignment="1">
      <alignment horizontal="center" vertical="center" wrapText="1"/>
    </xf>
    <xf numFmtId="0" fontId="309" fillId="33" borderId="0" xfId="43437" applyFont="1" applyFill="1" applyAlignment="1">
      <alignment horizontal="right" vertical="center"/>
    </xf>
    <xf numFmtId="0" fontId="260" fillId="101" borderId="178" xfId="43438" applyFont="1" applyFill="1" applyBorder="1" applyAlignment="1">
      <alignment horizontal="center" vertical="center" wrapText="1"/>
    </xf>
    <xf numFmtId="170" fontId="250" fillId="33" borderId="0" xfId="863" applyNumberFormat="1" applyFont="1" applyFill="1" applyAlignment="1">
      <alignment vertical="center"/>
    </xf>
    <xf numFmtId="0" fontId="250" fillId="0" borderId="0" xfId="43437" quotePrefix="1" applyFont="1" applyAlignment="1">
      <alignment horizontal="left" vertical="center"/>
    </xf>
    <xf numFmtId="278" fontId="250" fillId="41" borderId="0" xfId="43439" applyNumberFormat="1" applyFont="1" applyFill="1" applyBorder="1" applyAlignment="1">
      <alignment vertical="center" wrapText="1"/>
    </xf>
    <xf numFmtId="0" fontId="250" fillId="0" borderId="10" xfId="43437" quotePrefix="1" applyFont="1" applyBorder="1" applyAlignment="1">
      <alignment horizontal="left" vertical="center"/>
    </xf>
    <xf numFmtId="170" fontId="250" fillId="41" borderId="10" xfId="863" applyNumberFormat="1" applyFont="1" applyFill="1" applyBorder="1" applyAlignment="1">
      <alignment vertical="center"/>
    </xf>
    <xf numFmtId="170" fontId="250" fillId="42" borderId="10" xfId="863" applyNumberFormat="1" applyFont="1" applyFill="1" applyBorder="1" applyAlignment="1">
      <alignment vertical="center"/>
    </xf>
    <xf numFmtId="0" fontId="251" fillId="60" borderId="178" xfId="43437" quotePrefix="1" applyFont="1" applyFill="1" applyBorder="1" applyAlignment="1">
      <alignment horizontal="left" vertical="center"/>
    </xf>
    <xf numFmtId="278" fontId="251" fillId="60" borderId="178" xfId="43439" applyNumberFormat="1" applyFont="1" applyFill="1" applyBorder="1" applyAlignment="1">
      <alignment vertical="center" wrapText="1"/>
    </xf>
    <xf numFmtId="170" fontId="257" fillId="9" borderId="0" xfId="863" applyNumberFormat="1" applyFont="1" applyFill="1" applyBorder="1" applyAlignment="1">
      <alignment vertical="center" wrapText="1"/>
    </xf>
    <xf numFmtId="0" fontId="250" fillId="0" borderId="126" xfId="43437" quotePrefix="1" applyFont="1" applyBorder="1" applyAlignment="1">
      <alignment horizontal="left" vertical="center"/>
    </xf>
    <xf numFmtId="170" fontId="250" fillId="41" borderId="165" xfId="863" applyNumberFormat="1" applyFont="1" applyFill="1" applyBorder="1" applyAlignment="1">
      <alignment vertical="center" wrapText="1"/>
    </xf>
    <xf numFmtId="170" fontId="312" fillId="9" borderId="0" xfId="863" applyNumberFormat="1" applyFont="1" applyFill="1" applyBorder="1" applyAlignment="1">
      <alignment vertical="center" wrapText="1"/>
    </xf>
    <xf numFmtId="170" fontId="250" fillId="41" borderId="0" xfId="863" applyNumberFormat="1" applyFont="1" applyFill="1" applyBorder="1" applyAlignment="1">
      <alignment vertical="center" wrapText="1"/>
    </xf>
    <xf numFmtId="170" fontId="250" fillId="41" borderId="0" xfId="863" applyNumberFormat="1" applyFont="1" applyFill="1" applyBorder="1" applyAlignment="1">
      <alignment vertical="center"/>
    </xf>
    <xf numFmtId="170" fontId="250" fillId="0" borderId="0" xfId="863" applyNumberFormat="1" applyFont="1" applyFill="1" applyBorder="1" applyAlignment="1">
      <alignment vertical="center" wrapText="1"/>
    </xf>
    <xf numFmtId="170" fontId="250" fillId="0" borderId="0" xfId="863" applyNumberFormat="1" applyFont="1" applyFill="1" applyBorder="1" applyAlignment="1">
      <alignment vertical="center"/>
    </xf>
    <xf numFmtId="0" fontId="250" fillId="0" borderId="184" xfId="43437" quotePrefix="1" applyFont="1" applyBorder="1" applyAlignment="1">
      <alignment horizontal="left" vertical="center"/>
    </xf>
    <xf numFmtId="170" fontId="250" fillId="41" borderId="185" xfId="863" applyNumberFormat="1" applyFont="1" applyFill="1" applyBorder="1" applyAlignment="1">
      <alignment vertical="center" wrapText="1"/>
    </xf>
    <xf numFmtId="170" fontId="250" fillId="0" borderId="178" xfId="863" applyNumberFormat="1" applyFont="1" applyFill="1" applyBorder="1" applyAlignment="1">
      <alignment vertical="center" wrapText="1"/>
    </xf>
    <xf numFmtId="170" fontId="250" fillId="0" borderId="178" xfId="863" applyNumberFormat="1" applyFont="1" applyFill="1" applyBorder="1" applyAlignment="1">
      <alignment vertical="center"/>
    </xf>
    <xf numFmtId="170" fontId="251" fillId="60" borderId="178" xfId="863" applyNumberFormat="1" applyFont="1" applyFill="1" applyBorder="1" applyAlignment="1">
      <alignment vertical="center" wrapText="1"/>
    </xf>
    <xf numFmtId="170" fontId="251" fillId="60" borderId="178" xfId="863" applyNumberFormat="1" applyFont="1" applyFill="1" applyBorder="1" applyAlignment="1">
      <alignment vertical="center"/>
    </xf>
    <xf numFmtId="168" fontId="250" fillId="33" borderId="0" xfId="43186" applyFont="1" applyFill="1" applyAlignment="1">
      <alignment vertical="center" wrapText="1"/>
    </xf>
    <xf numFmtId="39" fontId="250" fillId="33" borderId="0" xfId="43437" applyNumberFormat="1" applyFont="1" applyFill="1" applyAlignment="1">
      <alignment vertical="center"/>
    </xf>
    <xf numFmtId="0" fontId="250" fillId="0" borderId="0" xfId="2697" applyFont="1" applyAlignment="1">
      <alignment vertical="center" wrapText="1"/>
    </xf>
    <xf numFmtId="0" fontId="250" fillId="124" borderId="0" xfId="2697" applyFont="1" applyFill="1" applyAlignment="1">
      <alignment vertical="center" wrapText="1"/>
    </xf>
    <xf numFmtId="0" fontId="250" fillId="123" borderId="0" xfId="43437" applyFont="1" applyFill="1" applyAlignment="1">
      <alignment vertical="center" wrapText="1"/>
    </xf>
    <xf numFmtId="43" fontId="250" fillId="41" borderId="0" xfId="43408" applyFont="1" applyFill="1" applyBorder="1" applyAlignment="1">
      <alignment vertical="center" wrapText="1"/>
    </xf>
    <xf numFmtId="0" fontId="250" fillId="125" borderId="0" xfId="2697" applyFont="1" applyFill="1" applyAlignment="1">
      <alignment vertical="center" wrapText="1"/>
    </xf>
    <xf numFmtId="43" fontId="250" fillId="124" borderId="0" xfId="43408" applyFont="1" applyFill="1" applyBorder="1" applyAlignment="1">
      <alignment vertical="center" wrapText="1"/>
    </xf>
    <xf numFmtId="168" fontId="250" fillId="44" borderId="0" xfId="863" applyFont="1" applyFill="1" applyBorder="1" applyAlignment="1">
      <alignment vertical="center" wrapText="1"/>
    </xf>
    <xf numFmtId="0" fontId="250" fillId="123" borderId="0" xfId="2697" applyFont="1" applyFill="1" applyAlignment="1">
      <alignment vertical="center" wrapText="1"/>
    </xf>
    <xf numFmtId="0" fontId="250" fillId="44" borderId="178" xfId="2697" applyFont="1" applyFill="1" applyBorder="1" applyAlignment="1">
      <alignment vertical="center" wrapText="1"/>
    </xf>
    <xf numFmtId="0" fontId="250" fillId="124" borderId="178" xfId="2697" applyFont="1" applyFill="1" applyBorder="1" applyAlignment="1">
      <alignment vertical="center" wrapText="1"/>
    </xf>
    <xf numFmtId="0" fontId="43" fillId="0" borderId="0" xfId="2697" applyFont="1" applyAlignment="1">
      <alignment vertical="center" wrapText="1"/>
    </xf>
    <xf numFmtId="0" fontId="313" fillId="0" borderId="0" xfId="0" applyFont="1"/>
    <xf numFmtId="0" fontId="314" fillId="55" borderId="186" xfId="0" applyFont="1" applyFill="1" applyBorder="1" applyAlignment="1">
      <alignment vertical="center"/>
    </xf>
    <xf numFmtId="14" fontId="250" fillId="0" borderId="20" xfId="0" applyNumberFormat="1" applyFont="1" applyBorder="1" applyAlignment="1">
      <alignment horizontal="left" vertical="center"/>
    </xf>
    <xf numFmtId="167" fontId="250" fillId="0" borderId="0" xfId="815" applyFont="1" applyBorder="1" applyAlignment="1">
      <alignment vertical="center"/>
    </xf>
    <xf numFmtId="170" fontId="250" fillId="0" borderId="10" xfId="863" applyNumberFormat="1" applyFont="1" applyBorder="1" applyAlignment="1">
      <alignment vertical="center"/>
    </xf>
    <xf numFmtId="272" fontId="250" fillId="0" borderId="10" xfId="863" applyNumberFormat="1" applyFont="1" applyBorder="1" applyAlignment="1">
      <alignment vertical="center"/>
    </xf>
    <xf numFmtId="14" fontId="251" fillId="56" borderId="156" xfId="834" applyNumberFormat="1" applyFont="1" applyFill="1" applyBorder="1" applyAlignment="1" applyProtection="1">
      <alignment horizontal="left" vertical="center"/>
    </xf>
    <xf numFmtId="170" fontId="251" fillId="41" borderId="0" xfId="863" applyNumberFormat="1" applyFont="1" applyFill="1" applyBorder="1" applyAlignment="1">
      <alignment vertical="center"/>
    </xf>
    <xf numFmtId="170" fontId="250" fillId="33" borderId="0" xfId="863" applyNumberFormat="1" applyFont="1" applyFill="1" applyBorder="1" applyAlignment="1">
      <alignment vertical="center"/>
    </xf>
    <xf numFmtId="0" fontId="250" fillId="41" borderId="0" xfId="863" applyNumberFormat="1" applyFont="1" applyFill="1" applyBorder="1" applyAlignment="1">
      <alignment vertical="center"/>
    </xf>
    <xf numFmtId="0" fontId="250" fillId="0" borderId="0" xfId="863" applyNumberFormat="1" applyFont="1" applyFill="1" applyBorder="1" applyAlignment="1">
      <alignment vertical="center"/>
    </xf>
    <xf numFmtId="0" fontId="250" fillId="0" borderId="178" xfId="863" applyNumberFormat="1" applyFont="1" applyFill="1" applyBorder="1" applyAlignment="1">
      <alignment vertical="center"/>
    </xf>
    <xf numFmtId="170" fontId="250" fillId="0" borderId="20" xfId="863" applyNumberFormat="1" applyFont="1" applyBorder="1" applyAlignment="1">
      <alignment vertical="center"/>
    </xf>
    <xf numFmtId="170" fontId="250" fillId="0" borderId="156" xfId="863" applyNumberFormat="1" applyFont="1" applyBorder="1" applyAlignment="1">
      <alignment vertical="center"/>
    </xf>
    <xf numFmtId="170" fontId="250" fillId="0" borderId="29" xfId="863" applyNumberFormat="1" applyFont="1" applyBorder="1" applyAlignment="1">
      <alignment vertical="center"/>
    </xf>
    <xf numFmtId="272" fontId="250" fillId="0" borderId="0" xfId="863" applyNumberFormat="1" applyFont="1" applyBorder="1" applyAlignment="1">
      <alignment vertical="center"/>
    </xf>
    <xf numFmtId="14" fontId="313" fillId="119" borderId="0" xfId="0" applyNumberFormat="1" applyFont="1" applyFill="1" applyAlignment="1">
      <alignment vertical="center"/>
    </xf>
    <xf numFmtId="174" fontId="313" fillId="119" borderId="0" xfId="0" applyNumberFormat="1" applyFont="1" applyFill="1" applyAlignment="1">
      <alignment vertical="center"/>
    </xf>
    <xf numFmtId="0" fontId="249" fillId="0" borderId="0" xfId="0" applyFont="1"/>
    <xf numFmtId="14" fontId="249" fillId="119" borderId="0" xfId="0" applyNumberFormat="1" applyFont="1" applyFill="1" applyAlignment="1">
      <alignment vertical="center"/>
    </xf>
    <xf numFmtId="174" fontId="249" fillId="119" borderId="0" xfId="0" applyNumberFormat="1" applyFont="1" applyFill="1" applyAlignment="1">
      <alignment vertical="center"/>
    </xf>
    <xf numFmtId="43" fontId="296" fillId="59" borderId="0" xfId="0" applyNumberFormat="1" applyFont="1" applyFill="1"/>
    <xf numFmtId="0" fontId="212" fillId="126" borderId="0" xfId="0" applyFont="1" applyFill="1"/>
    <xf numFmtId="3" fontId="0" fillId="0" borderId="0" xfId="43169" applyFont="1"/>
    <xf numFmtId="0" fontId="30" fillId="0" borderId="152" xfId="0" applyFont="1" applyBorder="1" applyAlignment="1">
      <alignment horizontal="center" vertical="center"/>
    </xf>
    <xf numFmtId="170" fontId="250" fillId="0" borderId="0" xfId="863" applyNumberFormat="1" applyFont="1" applyAlignment="1">
      <alignment vertical="center"/>
    </xf>
    <xf numFmtId="170" fontId="250" fillId="0" borderId="0" xfId="863" applyNumberFormat="1" applyFont="1" applyBorder="1" applyAlignment="1">
      <alignment vertical="center"/>
    </xf>
    <xf numFmtId="0" fontId="283" fillId="33" borderId="0" xfId="829" applyFont="1" applyFill="1" applyAlignment="1">
      <alignment horizontal="center"/>
    </xf>
    <xf numFmtId="168" fontId="283" fillId="0" borderId="0" xfId="863" applyFont="1" applyAlignment="1">
      <alignment horizontal="center"/>
    </xf>
    <xf numFmtId="10" fontId="283" fillId="0" borderId="0" xfId="847" applyNumberFormat="1" applyFont="1" applyAlignment="1">
      <alignment horizontal="center"/>
    </xf>
    <xf numFmtId="0" fontId="283" fillId="0" borderId="0" xfId="0" applyFont="1" applyAlignment="1">
      <alignment horizontal="center"/>
    </xf>
    <xf numFmtId="10" fontId="283" fillId="118" borderId="0" xfId="847" applyNumberFormat="1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10" fontId="205" fillId="0" borderId="0" xfId="847" applyNumberFormat="1" applyFont="1" applyAlignment="1">
      <alignment horizontal="center"/>
    </xf>
    <xf numFmtId="167" fontId="282" fillId="127" borderId="0" xfId="5583" applyNumberFormat="1" applyFont="1" applyFill="1" applyBorder="1" applyAlignment="1">
      <alignment vertical="center"/>
    </xf>
    <xf numFmtId="167" fontId="282" fillId="0" borderId="0" xfId="5583" applyNumberFormat="1" applyFont="1" applyFill="1" applyBorder="1" applyAlignment="1">
      <alignment vertical="center"/>
    </xf>
    <xf numFmtId="3" fontId="250" fillId="0" borderId="0" xfId="43169" applyFont="1"/>
    <xf numFmtId="174" fontId="250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8" borderId="0" xfId="0" applyNumberFormat="1" applyFill="1"/>
    <xf numFmtId="0" fontId="30" fillId="0" borderId="0" xfId="0" applyFont="1" applyAlignment="1">
      <alignment horizontal="center" vertical="center" wrapText="1"/>
    </xf>
    <xf numFmtId="168" fontId="250" fillId="119" borderId="0" xfId="863" applyFont="1" applyFill="1" applyAlignment="1">
      <alignment vertical="center"/>
    </xf>
    <xf numFmtId="281" fontId="315" fillId="0" borderId="187" xfId="863" applyNumberFormat="1" applyFont="1" applyFill="1" applyBorder="1" applyAlignment="1">
      <alignment vertical="center"/>
    </xf>
    <xf numFmtId="0" fontId="43" fillId="41" borderId="0" xfId="36379" applyFont="1" applyFill="1" applyAlignment="1">
      <alignment horizontal="center"/>
    </xf>
    <xf numFmtId="165" fontId="205" fillId="0" borderId="178" xfId="815" applyNumberFormat="1" applyFont="1" applyBorder="1" applyAlignment="1">
      <alignment horizontal="left"/>
    </xf>
    <xf numFmtId="10" fontId="205" fillId="0" borderId="178" xfId="847" applyNumberFormat="1" applyFont="1" applyFill="1" applyBorder="1" applyAlignment="1">
      <alignment horizontal="right"/>
    </xf>
    <xf numFmtId="165" fontId="205" fillId="0" borderId="166" xfId="815" applyNumberFormat="1" applyFont="1" applyBorder="1" applyAlignment="1">
      <alignment horizontal="left"/>
    </xf>
    <xf numFmtId="10" fontId="205" fillId="0" borderId="166" xfId="847" applyNumberFormat="1" applyFont="1" applyFill="1" applyBorder="1" applyAlignment="1">
      <alignment horizontal="right"/>
    </xf>
    <xf numFmtId="0" fontId="0" fillId="118" borderId="0" xfId="0" applyFill="1"/>
    <xf numFmtId="168" fontId="0" fillId="118" borderId="0" xfId="863" applyFont="1" applyFill="1"/>
    <xf numFmtId="10" fontId="0" fillId="118" borderId="0" xfId="847" applyNumberFormat="1" applyFont="1" applyFill="1"/>
    <xf numFmtId="0" fontId="316" fillId="41" borderId="0" xfId="36379" applyFont="1" applyFill="1"/>
    <xf numFmtId="0" fontId="316" fillId="41" borderId="0" xfId="36379" applyFont="1" applyFill="1" applyAlignment="1">
      <alignment horizontal="center"/>
    </xf>
    <xf numFmtId="9" fontId="260" fillId="38" borderId="0" xfId="1823" applyFont="1" applyFill="1" applyBorder="1" applyAlignment="1">
      <alignment horizontal="center" vertical="center" wrapText="1"/>
    </xf>
    <xf numFmtId="9" fontId="250" fillId="41" borderId="0" xfId="1823" applyFont="1" applyFill="1" applyBorder="1" applyAlignment="1">
      <alignment horizontal="left" vertical="center" wrapText="1"/>
    </xf>
    <xf numFmtId="43" fontId="250" fillId="41" borderId="0" xfId="43199" applyFont="1" applyFill="1" applyBorder="1" applyAlignment="1">
      <alignment horizontal="center" vertical="center" wrapText="1"/>
    </xf>
    <xf numFmtId="262" fontId="250" fillId="41" borderId="0" xfId="1823" applyNumberFormat="1" applyFont="1" applyFill="1" applyBorder="1" applyAlignment="1">
      <alignment horizontal="center" vertical="center" wrapText="1"/>
    </xf>
    <xf numFmtId="0" fontId="250" fillId="33" borderId="0" xfId="905" applyFont="1" applyFill="1"/>
    <xf numFmtId="262" fontId="250" fillId="41" borderId="0" xfId="907" applyNumberFormat="1" applyFont="1" applyFill="1"/>
    <xf numFmtId="262" fontId="250" fillId="33" borderId="0" xfId="905" applyNumberFormat="1" applyFont="1" applyFill="1"/>
    <xf numFmtId="37" fontId="250" fillId="41" borderId="0" xfId="905" applyNumberFormat="1" applyFont="1" applyFill="1" applyAlignment="1">
      <alignment horizontal="left"/>
    </xf>
    <xf numFmtId="168" fontId="250" fillId="41" borderId="0" xfId="863" applyFont="1" applyFill="1" applyBorder="1" applyAlignment="1">
      <alignment horizontal="center" vertical="center" wrapText="1"/>
    </xf>
    <xf numFmtId="262" fontId="250" fillId="41" borderId="0" xfId="847" applyNumberFormat="1" applyFont="1" applyFill="1" applyBorder="1" applyAlignment="1">
      <alignment horizontal="center" vertical="center" wrapText="1"/>
    </xf>
    <xf numFmtId="0" fontId="250" fillId="41" borderId="0" xfId="907" applyFont="1" applyFill="1"/>
    <xf numFmtId="168" fontId="250" fillId="41" borderId="0" xfId="863" applyFont="1" applyFill="1" applyBorder="1"/>
    <xf numFmtId="9" fontId="260" fillId="38" borderId="0" xfId="1095" applyFont="1" applyFill="1" applyBorder="1" applyAlignment="1">
      <alignment horizontal="center" vertical="center" wrapText="1"/>
    </xf>
    <xf numFmtId="43" fontId="250" fillId="0" borderId="0" xfId="43199" applyFont="1" applyAlignment="1">
      <alignment vertical="center"/>
    </xf>
    <xf numFmtId="168" fontId="250" fillId="0" borderId="0" xfId="863" applyFont="1" applyAlignment="1">
      <alignment vertical="center"/>
    </xf>
    <xf numFmtId="270" fontId="43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2" fontId="205" fillId="42" borderId="0" xfId="863" applyNumberFormat="1" applyFont="1" applyFill="1"/>
    <xf numFmtId="2" fontId="205" fillId="42" borderId="0" xfId="0" applyNumberFormat="1" applyFont="1" applyFill="1"/>
    <xf numFmtId="167" fontId="205" fillId="42" borderId="0" xfId="815" applyFont="1" applyFill="1"/>
    <xf numFmtId="0" fontId="222" fillId="0" borderId="178" xfId="907" applyFont="1" applyBorder="1" applyAlignment="1">
      <alignment horizontal="left"/>
    </xf>
    <xf numFmtId="0" fontId="205" fillId="33" borderId="178" xfId="829" applyFont="1" applyFill="1" applyBorder="1"/>
    <xf numFmtId="174" fontId="211" fillId="0" borderId="178" xfId="0" applyNumberFormat="1" applyFont="1" applyBorder="1" applyAlignment="1">
      <alignment horizontal="left"/>
    </xf>
    <xf numFmtId="10" fontId="211" fillId="0" borderId="178" xfId="0" applyNumberFormat="1" applyFont="1" applyBorder="1" applyAlignment="1">
      <alignment horizontal="right"/>
    </xf>
    <xf numFmtId="0" fontId="208" fillId="0" borderId="178" xfId="0" applyFont="1" applyBorder="1"/>
    <xf numFmtId="0" fontId="212" fillId="43" borderId="144" xfId="0" applyFont="1" applyFill="1" applyBorder="1" applyAlignment="1">
      <alignment horizontal="left"/>
    </xf>
    <xf numFmtId="168" fontId="208" fillId="45" borderId="144" xfId="863" applyFont="1" applyFill="1" applyBorder="1"/>
    <xf numFmtId="0" fontId="30" fillId="112" borderId="166" xfId="0" applyFont="1" applyFill="1" applyBorder="1" applyAlignment="1">
      <alignment horizontal="center"/>
    </xf>
    <xf numFmtId="0" fontId="30" fillId="112" borderId="166" xfId="0" applyFont="1" applyFill="1" applyBorder="1"/>
    <xf numFmtId="14" fontId="30" fillId="112" borderId="166" xfId="0" applyNumberFormat="1" applyFont="1" applyFill="1" applyBorder="1"/>
    <xf numFmtId="0" fontId="205" fillId="41" borderId="166" xfId="0" applyFont="1" applyFill="1" applyBorder="1" applyAlignment="1" applyProtection="1">
      <alignment horizontal="left"/>
      <protection hidden="1"/>
    </xf>
    <xf numFmtId="165" fontId="205" fillId="45" borderId="166" xfId="863" applyNumberFormat="1" applyFont="1" applyFill="1" applyBorder="1"/>
    <xf numFmtId="0" fontId="205" fillId="41" borderId="178" xfId="0" applyFont="1" applyFill="1" applyBorder="1" applyAlignment="1" applyProtection="1">
      <alignment horizontal="left"/>
      <protection hidden="1"/>
    </xf>
    <xf numFmtId="165" fontId="205" fillId="45" borderId="178" xfId="863" applyNumberFormat="1" applyFont="1" applyFill="1" applyBorder="1"/>
    <xf numFmtId="165" fontId="212" fillId="43" borderId="144" xfId="863" applyNumberFormat="1" applyFont="1" applyFill="1" applyBorder="1"/>
    <xf numFmtId="165" fontId="208" fillId="45" borderId="144" xfId="863" applyNumberFormat="1" applyFont="1" applyFill="1" applyBorder="1"/>
    <xf numFmtId="168" fontId="208" fillId="0" borderId="178" xfId="863" applyFont="1" applyBorder="1"/>
    <xf numFmtId="0" fontId="212" fillId="43" borderId="166" xfId="0" applyFont="1" applyFill="1" applyBorder="1" applyAlignment="1">
      <alignment horizontal="left"/>
    </xf>
    <xf numFmtId="10" fontId="205" fillId="45" borderId="166" xfId="847" applyNumberFormat="1" applyFont="1" applyFill="1" applyBorder="1"/>
    <xf numFmtId="0" fontId="212" fillId="43" borderId="178" xfId="0" applyFont="1" applyFill="1" applyBorder="1" applyAlignment="1">
      <alignment horizontal="left"/>
    </xf>
    <xf numFmtId="10" fontId="205" fillId="61" borderId="178" xfId="847" applyNumberFormat="1" applyFont="1" applyFill="1" applyBorder="1"/>
    <xf numFmtId="168" fontId="205" fillId="45" borderId="166" xfId="863" applyFont="1" applyFill="1" applyBorder="1"/>
    <xf numFmtId="168" fontId="205" fillId="45" borderId="178" xfId="863" applyFont="1" applyFill="1" applyBorder="1"/>
    <xf numFmtId="14" fontId="30" fillId="0" borderId="166" xfId="0" applyNumberFormat="1" applyFont="1" applyBorder="1"/>
    <xf numFmtId="14" fontId="30" fillId="112" borderId="178" xfId="0" applyNumberFormat="1" applyFont="1" applyFill="1" applyBorder="1"/>
    <xf numFmtId="0" fontId="30" fillId="112" borderId="178" xfId="0" applyFont="1" applyFill="1" applyBorder="1" applyAlignment="1">
      <alignment horizontal="center"/>
    </xf>
    <xf numFmtId="0" fontId="30" fillId="112" borderId="178" xfId="0" applyFont="1" applyFill="1" applyBorder="1"/>
    <xf numFmtId="14" fontId="30" fillId="112" borderId="166" xfId="0" applyNumberFormat="1" applyFont="1" applyFill="1" applyBorder="1" applyAlignment="1">
      <alignment horizontal="right"/>
    </xf>
    <xf numFmtId="14" fontId="30" fillId="112" borderId="178" xfId="0" applyNumberFormat="1" applyFont="1" applyFill="1" applyBorder="1" applyAlignment="1">
      <alignment horizontal="right"/>
    </xf>
    <xf numFmtId="0" fontId="273" fillId="0" borderId="178" xfId="907" applyFont="1" applyBorder="1" applyAlignment="1">
      <alignment horizontal="left"/>
    </xf>
    <xf numFmtId="0" fontId="43" fillId="33" borderId="178" xfId="829" applyFont="1" applyFill="1" applyBorder="1"/>
    <xf numFmtId="0" fontId="36" fillId="33" borderId="152" xfId="834" applyFont="1" applyFill="1" applyBorder="1" applyAlignment="1" applyProtection="1">
      <alignment horizontal="center" vertical="center" wrapText="1"/>
    </xf>
    <xf numFmtId="171" fontId="30" fillId="0" borderId="152" xfId="863" applyNumberFormat="1" applyFont="1" applyFill="1" applyBorder="1" applyAlignment="1">
      <alignment horizontal="center"/>
    </xf>
    <xf numFmtId="171" fontId="30" fillId="0" borderId="152" xfId="863" applyNumberFormat="1" applyFont="1" applyBorder="1" applyAlignment="1">
      <alignment horizontal="center"/>
    </xf>
    <xf numFmtId="171" fontId="30" fillId="103" borderId="152" xfId="863" applyNumberFormat="1" applyFont="1" applyFill="1" applyBorder="1" applyAlignment="1">
      <alignment horizontal="center"/>
    </xf>
    <xf numFmtId="0" fontId="36" fillId="61" borderId="152" xfId="907" applyFont="1" applyFill="1" applyBorder="1" applyAlignment="1">
      <alignment horizontal="center" vertical="center"/>
    </xf>
    <xf numFmtId="0" fontId="36" fillId="61" borderId="152" xfId="907" applyFont="1" applyFill="1" applyBorder="1" applyAlignment="1">
      <alignment horizontal="center" vertical="center" wrapText="1"/>
    </xf>
    <xf numFmtId="0" fontId="30" fillId="60" borderId="166" xfId="0" applyFont="1" applyFill="1" applyBorder="1" applyAlignment="1">
      <alignment horizontal="right"/>
    </xf>
    <xf numFmtId="0" fontId="279" fillId="96" borderId="155" xfId="0" applyFont="1" applyFill="1" applyBorder="1" applyAlignment="1">
      <alignment vertical="center"/>
    </xf>
    <xf numFmtId="14" fontId="30" fillId="0" borderId="178" xfId="0" applyNumberFormat="1" applyFont="1" applyBorder="1" applyAlignment="1">
      <alignment horizontal="right"/>
    </xf>
    <xf numFmtId="0" fontId="30" fillId="0" borderId="146" xfId="0" applyFont="1" applyBorder="1" applyAlignment="1">
      <alignment horizontal="center"/>
    </xf>
    <xf numFmtId="1" fontId="30" fillId="0" borderId="166" xfId="815" applyNumberFormat="1" applyFont="1" applyFill="1" applyBorder="1" applyAlignment="1"/>
    <xf numFmtId="170" fontId="30" fillId="0" borderId="166" xfId="863" applyNumberFormat="1" applyFont="1" applyFill="1" applyBorder="1" applyAlignment="1">
      <alignment horizontal="left"/>
    </xf>
    <xf numFmtId="0" fontId="30" fillId="0" borderId="154" xfId="0" applyFont="1" applyBorder="1"/>
    <xf numFmtId="10" fontId="30" fillId="0" borderId="178" xfId="847" applyNumberFormat="1" applyFont="1" applyFill="1" applyBorder="1" applyAlignment="1"/>
    <xf numFmtId="0" fontId="276" fillId="0" borderId="178" xfId="0" applyFont="1" applyBorder="1"/>
    <xf numFmtId="0" fontId="43" fillId="0" borderId="178" xfId="0" applyFont="1" applyBorder="1"/>
    <xf numFmtId="43" fontId="43" fillId="0" borderId="178" xfId="0" applyNumberFormat="1" applyFont="1" applyBorder="1"/>
    <xf numFmtId="43" fontId="277" fillId="0" borderId="178" xfId="0" applyNumberFormat="1" applyFont="1" applyBorder="1"/>
    <xf numFmtId="2" fontId="276" fillId="0" borderId="178" xfId="0" applyNumberFormat="1" applyFont="1" applyBorder="1"/>
    <xf numFmtId="14" fontId="276" fillId="0" borderId="178" xfId="0" applyNumberFormat="1" applyFont="1" applyBorder="1"/>
    <xf numFmtId="10" fontId="30" fillId="61" borderId="166" xfId="847" applyNumberFormat="1" applyFont="1" applyFill="1" applyBorder="1" applyAlignment="1">
      <alignment horizontal="right"/>
    </xf>
    <xf numFmtId="167" fontId="30" fillId="112" borderId="166" xfId="815" applyFont="1" applyFill="1" applyBorder="1" applyAlignment="1"/>
    <xf numFmtId="10" fontId="30" fillId="44" borderId="178" xfId="847" applyNumberFormat="1" applyFont="1" applyFill="1" applyBorder="1" applyAlignment="1">
      <alignment horizontal="right"/>
    </xf>
    <xf numFmtId="0" fontId="30" fillId="42" borderId="166" xfId="907" applyFill="1" applyBorder="1"/>
    <xf numFmtId="10" fontId="30" fillId="42" borderId="166" xfId="847" applyNumberFormat="1" applyFont="1" applyFill="1" applyBorder="1" applyAlignment="1">
      <alignment horizontal="right"/>
    </xf>
    <xf numFmtId="167" fontId="30" fillId="112" borderId="178" xfId="815" applyFont="1" applyFill="1" applyBorder="1" applyAlignment="1"/>
    <xf numFmtId="0" fontId="30" fillId="0" borderId="166" xfId="0" applyFont="1" applyBorder="1" applyAlignment="1">
      <alignment horizontal="left"/>
    </xf>
    <xf numFmtId="0" fontId="36" fillId="42" borderId="178" xfId="0" applyFont="1" applyFill="1" applyBorder="1"/>
    <xf numFmtId="0" fontId="30" fillId="42" borderId="178" xfId="0" applyFont="1" applyFill="1" applyBorder="1"/>
    <xf numFmtId="168" fontId="30" fillId="41" borderId="166" xfId="863" applyFont="1" applyFill="1" applyBorder="1" applyAlignment="1"/>
    <xf numFmtId="168" fontId="30" fillId="41" borderId="178" xfId="863" applyFont="1" applyFill="1" applyBorder="1" applyAlignment="1"/>
    <xf numFmtId="0" fontId="30" fillId="0" borderId="178" xfId="0" applyFont="1" applyBorder="1" applyAlignment="1">
      <alignment horizontal="left"/>
    </xf>
    <xf numFmtId="168" fontId="30" fillId="0" borderId="178" xfId="863" applyFont="1" applyFill="1" applyBorder="1" applyAlignment="1"/>
    <xf numFmtId="168" fontId="30" fillId="44" borderId="178" xfId="863" applyFont="1" applyFill="1" applyBorder="1" applyAlignment="1">
      <alignment horizontal="right"/>
    </xf>
    <xf numFmtId="10" fontId="30" fillId="112" borderId="166" xfId="847" applyNumberFormat="1" applyFont="1" applyFill="1" applyBorder="1" applyAlignment="1">
      <alignment horizontal="right"/>
    </xf>
    <xf numFmtId="170" fontId="30" fillId="0" borderId="166" xfId="0" applyNumberFormat="1" applyFont="1" applyBorder="1"/>
    <xf numFmtId="168" fontId="30" fillId="0" borderId="166" xfId="863" applyFont="1" applyFill="1" applyBorder="1" applyAlignment="1"/>
    <xf numFmtId="10" fontId="30" fillId="112" borderId="178" xfId="847" applyNumberFormat="1" applyFont="1" applyFill="1" applyBorder="1" applyAlignment="1">
      <alignment horizontal="right"/>
    </xf>
    <xf numFmtId="168" fontId="30" fillId="0" borderId="144" xfId="863" applyFont="1" applyFill="1" applyBorder="1" applyAlignment="1">
      <alignment horizontal="left"/>
    </xf>
    <xf numFmtId="268" fontId="30" fillId="0" borderId="166" xfId="847" applyNumberFormat="1" applyFont="1" applyFill="1" applyBorder="1" applyAlignment="1">
      <alignment horizontal="left"/>
    </xf>
    <xf numFmtId="10" fontId="30" fillId="0" borderId="166" xfId="847" applyNumberFormat="1" applyFont="1" applyFill="1" applyBorder="1" applyAlignment="1"/>
    <xf numFmtId="10" fontId="30" fillId="0" borderId="178" xfId="847" applyNumberFormat="1" applyFont="1" applyFill="1" applyBorder="1" applyAlignment="1">
      <alignment horizontal="left"/>
    </xf>
    <xf numFmtId="167" fontId="30" fillId="0" borderId="166" xfId="815" applyFont="1" applyFill="1" applyBorder="1" applyAlignment="1">
      <alignment horizontal="left"/>
    </xf>
    <xf numFmtId="167" fontId="30" fillId="0" borderId="178" xfId="815" applyFont="1" applyFill="1" applyBorder="1" applyAlignment="1">
      <alignment horizontal="left"/>
    </xf>
    <xf numFmtId="165" fontId="30" fillId="0" borderId="144" xfId="863" applyNumberFormat="1" applyFont="1" applyFill="1" applyBorder="1"/>
    <xf numFmtId="0" fontId="272" fillId="43" borderId="152" xfId="0" applyFont="1" applyFill="1" applyBorder="1" applyAlignment="1">
      <alignment horizontal="center" vertical="center" wrapText="1"/>
    </xf>
    <xf numFmtId="0" fontId="36" fillId="59" borderId="144" xfId="907" applyFont="1" applyFill="1" applyBorder="1"/>
    <xf numFmtId="0" fontId="30" fillId="59" borderId="144" xfId="907" applyFill="1" applyBorder="1" applyAlignment="1">
      <alignment horizontal="center"/>
    </xf>
    <xf numFmtId="171" fontId="30" fillId="112" borderId="144" xfId="907" applyNumberFormat="1" applyFill="1" applyBorder="1" applyAlignment="1">
      <alignment horizontal="left"/>
    </xf>
    <xf numFmtId="168" fontId="36" fillId="59" borderId="149" xfId="863" applyFont="1" applyFill="1" applyBorder="1"/>
    <xf numFmtId="14" fontId="30" fillId="59" borderId="152" xfId="863" applyNumberFormat="1" applyFont="1" applyFill="1" applyBorder="1"/>
    <xf numFmtId="14" fontId="30" fillId="59" borderId="152" xfId="847" applyNumberFormat="1" applyFont="1" applyFill="1" applyBorder="1" applyAlignment="1">
      <alignment horizontal="center"/>
    </xf>
    <xf numFmtId="168" fontId="30" fillId="112" borderId="144" xfId="863" applyFont="1" applyFill="1" applyBorder="1" applyAlignment="1">
      <alignment horizontal="left"/>
    </xf>
    <xf numFmtId="230" fontId="30" fillId="112" borderId="144" xfId="863" applyNumberFormat="1" applyFont="1" applyFill="1" applyBorder="1" applyAlignment="1">
      <alignment horizontal="left"/>
    </xf>
    <xf numFmtId="3" fontId="30" fillId="112" borderId="166" xfId="863" applyNumberFormat="1" applyFont="1" applyFill="1" applyBorder="1" applyAlignment="1">
      <alignment horizontal="left"/>
    </xf>
    <xf numFmtId="230" fontId="30" fillId="112" borderId="166" xfId="0" applyNumberFormat="1" applyFont="1" applyFill="1" applyBorder="1"/>
    <xf numFmtId="10" fontId="30" fillId="42" borderId="166" xfId="847" applyNumberFormat="1" applyFont="1" applyFill="1" applyBorder="1" applyAlignment="1">
      <alignment horizontal="left"/>
    </xf>
    <xf numFmtId="230" fontId="30" fillId="42" borderId="166" xfId="863" applyNumberFormat="1" applyFont="1" applyFill="1" applyBorder="1" applyAlignment="1">
      <alignment horizontal="left"/>
    </xf>
    <xf numFmtId="10" fontId="30" fillId="42" borderId="178" xfId="847" applyNumberFormat="1" applyFont="1" applyFill="1" applyBorder="1" applyAlignment="1">
      <alignment horizontal="left"/>
    </xf>
    <xf numFmtId="230" fontId="30" fillId="42" borderId="178" xfId="863" applyNumberFormat="1" applyFont="1" applyFill="1" applyBorder="1" applyAlignment="1">
      <alignment horizontal="left"/>
    </xf>
    <xf numFmtId="0" fontId="30" fillId="112" borderId="178" xfId="0" applyFont="1" applyFill="1" applyBorder="1" applyAlignment="1">
      <alignment horizontal="left"/>
    </xf>
    <xf numFmtId="230" fontId="30" fillId="112" borderId="178" xfId="0" applyNumberFormat="1" applyFont="1" applyFill="1" applyBorder="1"/>
    <xf numFmtId="0" fontId="110" fillId="58" borderId="149" xfId="834" applyFont="1" applyFill="1" applyBorder="1" applyAlignment="1" applyProtection="1">
      <alignment horizontal="left" vertical="center"/>
    </xf>
    <xf numFmtId="0" fontId="110" fillId="56" borderId="149" xfId="834" applyFont="1" applyFill="1" applyBorder="1" applyAlignment="1" applyProtection="1">
      <alignment horizontal="left" vertical="center"/>
    </xf>
    <xf numFmtId="14" fontId="110" fillId="56" borderId="148" xfId="834" applyNumberFormat="1" applyFont="1" applyFill="1" applyBorder="1" applyAlignment="1" applyProtection="1">
      <alignment horizontal="left" vertical="center"/>
    </xf>
    <xf numFmtId="0" fontId="281" fillId="0" borderId="178" xfId="907" applyFont="1" applyBorder="1" applyAlignment="1">
      <alignment horizontal="left"/>
    </xf>
    <xf numFmtId="0" fontId="229" fillId="33" borderId="178" xfId="829" applyFont="1" applyFill="1" applyBorder="1"/>
    <xf numFmtId="0" fontId="205" fillId="60" borderId="166" xfId="0" applyFont="1" applyFill="1" applyBorder="1" applyAlignment="1" applyProtection="1">
      <alignment horizontal="left" wrapText="1"/>
      <protection hidden="1"/>
    </xf>
    <xf numFmtId="167" fontId="205" fillId="0" borderId="166" xfId="815" applyFont="1" applyBorder="1"/>
    <xf numFmtId="0" fontId="208" fillId="115" borderId="178" xfId="0" applyFont="1" applyFill="1" applyBorder="1" applyAlignment="1" applyProtection="1">
      <alignment horizontal="left" wrapText="1"/>
      <protection hidden="1"/>
    </xf>
    <xf numFmtId="262" fontId="208" fillId="0" borderId="178" xfId="847" applyNumberFormat="1" applyFont="1" applyBorder="1"/>
    <xf numFmtId="0" fontId="208" fillId="115" borderId="144" xfId="0" applyFont="1" applyFill="1" applyBorder="1" applyAlignment="1" applyProtection="1">
      <alignment horizontal="left" wrapText="1"/>
      <protection hidden="1"/>
    </xf>
    <xf numFmtId="262" fontId="208" fillId="0" borderId="144" xfId="847" applyNumberFormat="1" applyFont="1" applyBorder="1"/>
    <xf numFmtId="0" fontId="211" fillId="0" borderId="178" xfId="0" applyFont="1" applyBorder="1" applyAlignment="1">
      <alignment horizontal="right" vertical="center"/>
    </xf>
    <xf numFmtId="0" fontId="211" fillId="0" borderId="166" xfId="0" applyFont="1" applyBorder="1" applyAlignment="1">
      <alignment horizontal="right" vertical="center"/>
    </xf>
    <xf numFmtId="0" fontId="212" fillId="43" borderId="166" xfId="0" applyFont="1" applyFill="1" applyBorder="1" applyAlignment="1">
      <alignment horizontal="center"/>
    </xf>
    <xf numFmtId="0" fontId="212" fillId="43" borderId="145" xfId="0" applyFont="1" applyFill="1" applyBorder="1" applyAlignment="1">
      <alignment horizontal="center"/>
    </xf>
    <xf numFmtId="0" fontId="212" fillId="43" borderId="147" xfId="0" applyFont="1" applyFill="1" applyBorder="1" applyAlignment="1">
      <alignment horizontal="center"/>
    </xf>
    <xf numFmtId="0" fontId="213" fillId="59" borderId="144" xfId="907" applyFont="1" applyFill="1" applyBorder="1"/>
    <xf numFmtId="167" fontId="208" fillId="59" borderId="149" xfId="0" applyNumberFormat="1" applyFont="1" applyFill="1" applyBorder="1" applyProtection="1">
      <protection hidden="1"/>
    </xf>
    <xf numFmtId="167" fontId="208" fillId="59" borderId="148" xfId="0" applyNumberFormat="1" applyFont="1" applyFill="1" applyBorder="1" applyProtection="1">
      <protection hidden="1"/>
    </xf>
    <xf numFmtId="10" fontId="208" fillId="59" borderId="149" xfId="847" applyNumberFormat="1" applyFont="1" applyFill="1" applyBorder="1" applyAlignment="1" applyProtection="1">
      <alignment horizontal="right"/>
      <protection hidden="1"/>
    </xf>
    <xf numFmtId="262" fontId="208" fillId="59" borderId="144" xfId="847" applyNumberFormat="1" applyFont="1" applyFill="1" applyBorder="1" applyAlignment="1" applyProtection="1">
      <alignment horizontal="right"/>
      <protection hidden="1"/>
    </xf>
    <xf numFmtId="0" fontId="208" fillId="59" borderId="144" xfId="0" applyFont="1" applyFill="1" applyBorder="1" applyAlignment="1" applyProtection="1">
      <alignment horizontal="left"/>
      <protection hidden="1"/>
    </xf>
    <xf numFmtId="0" fontId="208" fillId="59" borderId="178" xfId="0" applyFont="1" applyFill="1" applyBorder="1" applyAlignment="1">
      <alignment horizontal="left"/>
    </xf>
    <xf numFmtId="167" fontId="208" fillId="59" borderId="156" xfId="0" applyNumberFormat="1" applyFont="1" applyFill="1" applyBorder="1" applyProtection="1">
      <protection hidden="1"/>
    </xf>
    <xf numFmtId="167" fontId="208" fillId="59" borderId="155" xfId="0" applyNumberFormat="1" applyFont="1" applyFill="1" applyBorder="1" applyProtection="1">
      <protection hidden="1"/>
    </xf>
    <xf numFmtId="10" fontId="208" fillId="59" borderId="156" xfId="847" applyNumberFormat="1" applyFont="1" applyFill="1" applyBorder="1" applyAlignment="1" applyProtection="1">
      <alignment horizontal="right"/>
      <protection hidden="1"/>
    </xf>
    <xf numFmtId="262" fontId="208" fillId="59" borderId="178" xfId="847" applyNumberFormat="1" applyFont="1" applyFill="1" applyBorder="1" applyAlignment="1" applyProtection="1">
      <alignment horizontal="right"/>
      <protection hidden="1"/>
    </xf>
    <xf numFmtId="0" fontId="212" fillId="43" borderId="149" xfId="0" applyFont="1" applyFill="1" applyBorder="1" applyAlignment="1">
      <alignment horizontal="center"/>
    </xf>
    <xf numFmtId="0" fontId="208" fillId="59" borderId="178" xfId="0" applyFont="1" applyFill="1" applyBorder="1" applyAlignment="1" applyProtection="1">
      <alignment horizontal="left"/>
      <protection hidden="1"/>
    </xf>
    <xf numFmtId="167" fontId="208" fillId="59" borderId="178" xfId="0" applyNumberFormat="1" applyFont="1" applyFill="1" applyBorder="1" applyProtection="1">
      <protection hidden="1"/>
    </xf>
    <xf numFmtId="167" fontId="208" fillId="115" borderId="178" xfId="0" applyNumberFormat="1" applyFont="1" applyFill="1" applyBorder="1" applyProtection="1">
      <protection hidden="1"/>
    </xf>
    <xf numFmtId="262" fontId="208" fillId="59" borderId="156" xfId="847" applyNumberFormat="1" applyFont="1" applyFill="1" applyBorder="1" applyAlignment="1" applyProtection="1">
      <alignment horizontal="center"/>
      <protection hidden="1"/>
    </xf>
    <xf numFmtId="262" fontId="208" fillId="59" borderId="178" xfId="847" applyNumberFormat="1" applyFont="1" applyFill="1" applyBorder="1" applyAlignment="1" applyProtection="1">
      <alignment horizontal="center"/>
      <protection hidden="1"/>
    </xf>
    <xf numFmtId="0" fontId="208" fillId="59" borderId="166" xfId="0" applyFont="1" applyFill="1" applyBorder="1" applyProtection="1">
      <protection hidden="1"/>
    </xf>
    <xf numFmtId="167" fontId="208" fillId="59" borderId="166" xfId="815" applyFont="1" applyFill="1" applyBorder="1" applyAlignment="1" applyProtection="1">
      <protection hidden="1"/>
    </xf>
    <xf numFmtId="10" fontId="208" fillId="59" borderId="166" xfId="847" applyNumberFormat="1" applyFont="1" applyFill="1" applyBorder="1" applyAlignment="1" applyProtection="1">
      <alignment horizontal="right"/>
      <protection hidden="1"/>
    </xf>
    <xf numFmtId="9" fontId="38" fillId="38" borderId="149" xfId="1823" applyFont="1" applyFill="1" applyBorder="1" applyAlignment="1">
      <alignment horizontal="center" vertical="center" wrapText="1"/>
    </xf>
    <xf numFmtId="9" fontId="110" fillId="94" borderId="144" xfId="1823" applyFont="1" applyFill="1" applyBorder="1" applyAlignment="1">
      <alignment horizontal="center" vertical="center" wrapText="1"/>
    </xf>
    <xf numFmtId="10" fontId="110" fillId="94" borderId="144" xfId="1823" applyNumberFormat="1" applyFont="1" applyFill="1" applyBorder="1" applyAlignment="1">
      <alignment horizontal="center" vertical="center" wrapText="1"/>
    </xf>
    <xf numFmtId="0" fontId="43" fillId="33" borderId="178" xfId="776" applyFont="1" applyFill="1" applyBorder="1" applyAlignment="1">
      <alignment wrapText="1"/>
    </xf>
    <xf numFmtId="217" fontId="43" fillId="33" borderId="178" xfId="2697" applyNumberFormat="1" applyFont="1" applyFill="1" applyBorder="1" applyAlignment="1">
      <alignment horizontal="center"/>
    </xf>
    <xf numFmtId="167" fontId="43" fillId="33" borderId="178" xfId="815" applyFont="1" applyFill="1" applyBorder="1"/>
    <xf numFmtId="217" fontId="110" fillId="94" borderId="144" xfId="1823" applyNumberFormat="1" applyFont="1" applyFill="1" applyBorder="1" applyAlignment="1">
      <alignment horizontal="center" vertical="center" wrapText="1"/>
    </xf>
    <xf numFmtId="167" fontId="110" fillId="94" borderId="144" xfId="815" applyFont="1" applyFill="1" applyBorder="1" applyAlignment="1">
      <alignment horizontal="center" vertical="center" wrapText="1"/>
    </xf>
    <xf numFmtId="0" fontId="43" fillId="94" borderId="144" xfId="776" applyFont="1" applyFill="1" applyBorder="1" applyAlignment="1">
      <alignment wrapText="1"/>
    </xf>
    <xf numFmtId="217" fontId="43" fillId="94" borderId="144" xfId="2697" applyNumberFormat="1" applyFont="1" applyFill="1" applyBorder="1" applyAlignment="1">
      <alignment horizontal="center"/>
    </xf>
    <xf numFmtId="171" fontId="30" fillId="0" borderId="152" xfId="907" applyNumberFormat="1" applyBorder="1" applyAlignment="1">
      <alignment horizontal="center"/>
    </xf>
    <xf numFmtId="14" fontId="30" fillId="41" borderId="152" xfId="907" applyNumberFormat="1" applyFill="1" applyBorder="1"/>
    <xf numFmtId="9" fontId="38" fillId="38" borderId="144" xfId="1823" applyFont="1" applyFill="1" applyBorder="1" applyAlignment="1">
      <alignment horizontal="center" vertical="center" wrapText="1"/>
    </xf>
    <xf numFmtId="171" fontId="38" fillId="38" borderId="144" xfId="847" applyNumberFormat="1" applyFont="1" applyFill="1" applyBorder="1" applyAlignment="1">
      <alignment horizontal="center" vertical="center" wrapText="1"/>
    </xf>
    <xf numFmtId="0" fontId="43" fillId="0" borderId="178" xfId="2697" applyFont="1" applyBorder="1" applyAlignment="1">
      <alignment vertical="center"/>
    </xf>
    <xf numFmtId="43" fontId="43" fillId="41" borderId="178" xfId="43199" applyFont="1" applyFill="1" applyBorder="1" applyAlignment="1">
      <alignment vertical="center"/>
    </xf>
    <xf numFmtId="43" fontId="43" fillId="41" borderId="178" xfId="43199" applyFont="1" applyFill="1" applyBorder="1" applyAlignment="1">
      <alignment horizontal="center" vertical="center"/>
    </xf>
    <xf numFmtId="0" fontId="110" fillId="59" borderId="144" xfId="2697" applyFont="1" applyFill="1" applyBorder="1" applyAlignment="1">
      <alignment vertical="center"/>
    </xf>
    <xf numFmtId="10" fontId="110" fillId="59" borderId="144" xfId="847" applyNumberFormat="1" applyFont="1" applyFill="1" applyBorder="1" applyAlignment="1">
      <alignment vertical="center"/>
    </xf>
    <xf numFmtId="43" fontId="110" fillId="59" borderId="144" xfId="43199" applyFont="1" applyFill="1" applyBorder="1" applyAlignment="1">
      <alignment vertical="center"/>
    </xf>
    <xf numFmtId="0" fontId="110" fillId="42" borderId="144" xfId="2697" applyFont="1" applyFill="1" applyBorder="1" applyAlignment="1">
      <alignment vertical="center"/>
    </xf>
    <xf numFmtId="43" fontId="110" fillId="42" borderId="144" xfId="43199" applyFont="1" applyFill="1" applyBorder="1" applyAlignment="1">
      <alignment vertical="center"/>
    </xf>
    <xf numFmtId="10" fontId="110" fillId="42" borderId="144" xfId="847" applyNumberFormat="1" applyFont="1" applyFill="1" applyBorder="1" applyAlignment="1">
      <alignment horizontal="center" vertical="center"/>
    </xf>
    <xf numFmtId="10" fontId="110" fillId="59" borderId="144" xfId="847" applyNumberFormat="1" applyFont="1" applyFill="1" applyBorder="1" applyAlignment="1">
      <alignment horizontal="center" vertical="center"/>
    </xf>
    <xf numFmtId="10" fontId="43" fillId="41" borderId="178" xfId="847" applyNumberFormat="1" applyFont="1" applyFill="1" applyBorder="1" applyAlignment="1">
      <alignment horizontal="center"/>
    </xf>
    <xf numFmtId="0" fontId="43" fillId="42" borderId="144" xfId="776" applyFont="1" applyFill="1" applyBorder="1" applyAlignment="1">
      <alignment wrapText="1"/>
    </xf>
    <xf numFmtId="170" fontId="43" fillId="42" borderId="144" xfId="43199" applyNumberFormat="1" applyFont="1" applyFill="1" applyBorder="1" applyAlignment="1">
      <alignment horizontal="center" wrapText="1"/>
    </xf>
    <xf numFmtId="170" fontId="43" fillId="42" borderId="144" xfId="847" applyNumberFormat="1" applyFont="1" applyFill="1" applyBorder="1" applyAlignment="1">
      <alignment horizontal="center" wrapText="1"/>
    </xf>
    <xf numFmtId="170" fontId="110" fillId="59" borderId="144" xfId="863" applyNumberFormat="1" applyFont="1" applyFill="1" applyBorder="1" applyAlignment="1">
      <alignment vertical="center"/>
    </xf>
    <xf numFmtId="0" fontId="243" fillId="41" borderId="178" xfId="907" applyFont="1" applyFill="1" applyBorder="1" applyAlignment="1">
      <alignment horizontal="left"/>
    </xf>
    <xf numFmtId="9" fontId="38" fillId="38" borderId="144" xfId="1823" applyFont="1" applyFill="1" applyBorder="1" applyAlignment="1">
      <alignment horizontal="left" vertical="center" wrapText="1"/>
    </xf>
    <xf numFmtId="0" fontId="43" fillId="41" borderId="178" xfId="2697" applyFont="1" applyFill="1" applyBorder="1" applyAlignment="1">
      <alignment horizontal="center" vertical="center"/>
    </xf>
    <xf numFmtId="0" fontId="43" fillId="41" borderId="166" xfId="2697" applyFont="1" applyFill="1" applyBorder="1" applyAlignment="1">
      <alignment horizontal="center"/>
    </xf>
    <xf numFmtId="0" fontId="43" fillId="41" borderId="166" xfId="2697" applyFont="1" applyFill="1" applyBorder="1" applyAlignment="1">
      <alignment horizontal="left"/>
    </xf>
    <xf numFmtId="2" fontId="43" fillId="41" borderId="166" xfId="2697" applyNumberFormat="1" applyFont="1" applyFill="1" applyBorder="1" applyAlignment="1">
      <alignment horizontal="center"/>
    </xf>
    <xf numFmtId="3" fontId="43" fillId="41" borderId="178" xfId="43199" applyNumberFormat="1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left"/>
    </xf>
    <xf numFmtId="3" fontId="43" fillId="42" borderId="144" xfId="847" applyNumberFormat="1" applyFont="1" applyFill="1" applyBorder="1" applyAlignment="1">
      <alignment horizontal="right" wrapText="1"/>
    </xf>
    <xf numFmtId="43" fontId="43" fillId="42" borderId="178" xfId="43199" applyFont="1" applyFill="1" applyBorder="1" applyAlignment="1">
      <alignment horizontal="right"/>
    </xf>
    <xf numFmtId="3" fontId="110" fillId="59" borderId="144" xfId="2697" applyNumberFormat="1" applyFont="1" applyFill="1" applyBorder="1" applyAlignment="1">
      <alignment horizontal="right" vertical="center"/>
    </xf>
    <xf numFmtId="43" fontId="110" fillId="59" borderId="144" xfId="43199" applyFont="1" applyFill="1" applyBorder="1" applyAlignment="1">
      <alignment horizontal="right" vertical="center"/>
    </xf>
    <xf numFmtId="0" fontId="243" fillId="0" borderId="178" xfId="907" applyFont="1" applyBorder="1" applyAlignment="1">
      <alignment horizontal="left"/>
    </xf>
    <xf numFmtId="170" fontId="110" fillId="59" borderId="144" xfId="43199" applyNumberFormat="1" applyFont="1" applyFill="1" applyBorder="1" applyAlignment="1">
      <alignment horizontal="right"/>
    </xf>
    <xf numFmtId="9" fontId="38" fillId="38" borderId="144" xfId="1823" applyFont="1" applyFill="1" applyBorder="1" applyAlignment="1">
      <alignment vertical="center" wrapText="1"/>
    </xf>
    <xf numFmtId="168" fontId="110" fillId="59" borderId="144" xfId="863" applyFont="1" applyFill="1" applyBorder="1" applyAlignment="1">
      <alignment vertical="center"/>
    </xf>
    <xf numFmtId="9" fontId="250" fillId="42" borderId="144" xfId="1823" applyFont="1" applyFill="1" applyBorder="1" applyAlignment="1">
      <alignment horizontal="left" vertical="center" wrapText="1"/>
    </xf>
    <xf numFmtId="43" fontId="250" fillId="42" borderId="144" xfId="43199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left" vertical="center" wrapText="1"/>
    </xf>
    <xf numFmtId="37" fontId="250" fillId="42" borderId="144" xfId="905" quotePrefix="1" applyNumberFormat="1" applyFont="1" applyFill="1" applyBorder="1" applyAlignment="1">
      <alignment horizontal="left"/>
    </xf>
    <xf numFmtId="43" fontId="250" fillId="42" borderId="144" xfId="43199" applyFont="1" applyFill="1" applyBorder="1" applyAlignment="1">
      <alignment horizontal="center"/>
    </xf>
    <xf numFmtId="262" fontId="250" fillId="42" borderId="144" xfId="1823" applyNumberFormat="1" applyFont="1" applyFill="1" applyBorder="1" applyAlignment="1">
      <alignment horizontal="center"/>
    </xf>
    <xf numFmtId="0" fontId="251" fillId="59" borderId="144" xfId="905" applyFont="1" applyFill="1" applyBorder="1" applyAlignment="1">
      <alignment horizontal="left"/>
    </xf>
    <xf numFmtId="262" fontId="251" fillId="59" borderId="144" xfId="905" applyNumberFormat="1" applyFont="1" applyFill="1" applyBorder="1" applyAlignment="1">
      <alignment horizontal="left"/>
    </xf>
    <xf numFmtId="262" fontId="251" fillId="59" borderId="144" xfId="847" applyNumberFormat="1" applyFont="1" applyFill="1" applyBorder="1" applyAlignment="1">
      <alignment horizontal="center"/>
    </xf>
    <xf numFmtId="9" fontId="251" fillId="42" borderId="144" xfId="1823" applyFont="1" applyFill="1" applyBorder="1" applyAlignment="1">
      <alignment horizontal="left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43" fontId="251" fillId="59" borderId="144" xfId="905" applyNumberFormat="1" applyFont="1" applyFill="1" applyBorder="1" applyAlignment="1">
      <alignment horizontal="left"/>
    </xf>
    <xf numFmtId="262" fontId="251" fillId="59" borderId="144" xfId="43200" applyNumberFormat="1" applyFont="1" applyFill="1" applyBorder="1" applyAlignment="1">
      <alignment horizontal="center"/>
    </xf>
    <xf numFmtId="9" fontId="317" fillId="55" borderId="144" xfId="1823" applyFont="1" applyFill="1" applyBorder="1" applyAlignment="1">
      <alignment horizontal="left" vertical="center" wrapText="1"/>
    </xf>
    <xf numFmtId="262" fontId="317" fillId="55" borderId="144" xfId="1823" applyNumberFormat="1" applyFont="1" applyFill="1" applyBorder="1" applyAlignment="1">
      <alignment horizontal="center" vertical="center" wrapText="1"/>
    </xf>
    <xf numFmtId="262" fontId="251" fillId="59" borderId="144" xfId="905" applyNumberFormat="1" applyFont="1" applyFill="1" applyBorder="1" applyAlignment="1">
      <alignment horizontal="center" vertical="center" wrapText="1"/>
    </xf>
    <xf numFmtId="0" fontId="251" fillId="59" borderId="144" xfId="905" applyFont="1" applyFill="1" applyBorder="1" applyAlignment="1">
      <alignment wrapText="1"/>
    </xf>
    <xf numFmtId="10" fontId="251" fillId="59" borderId="144" xfId="847" applyNumberFormat="1" applyFont="1" applyFill="1" applyBorder="1" applyAlignment="1">
      <alignment horizontal="center" vertical="center" wrapText="1"/>
    </xf>
    <xf numFmtId="261" fontId="251" fillId="59" borderId="144" xfId="905" applyNumberFormat="1" applyFont="1" applyFill="1" applyBorder="1" applyAlignment="1">
      <alignment horizontal="center" vertical="center" wrapText="1"/>
    </xf>
    <xf numFmtId="172" fontId="251" fillId="59" borderId="144" xfId="43199" applyNumberFormat="1" applyFont="1" applyFill="1" applyBorder="1" applyAlignment="1">
      <alignment vertical="center"/>
    </xf>
    <xf numFmtId="168" fontId="251" fillId="59" borderId="144" xfId="863" applyFont="1" applyFill="1" applyBorder="1" applyAlignment="1">
      <alignment vertical="center"/>
    </xf>
    <xf numFmtId="172" fontId="110" fillId="59" borderId="144" xfId="43199" applyNumberFormat="1" applyFont="1" applyFill="1" applyBorder="1" applyAlignment="1">
      <alignment vertical="center"/>
    </xf>
    <xf numFmtId="0" fontId="117" fillId="101" borderId="188" xfId="2697" applyFont="1" applyFill="1" applyBorder="1" applyAlignment="1">
      <alignment horizontal="center" vertical="center" wrapText="1"/>
    </xf>
    <xf numFmtId="0" fontId="110" fillId="59" borderId="189" xfId="905" applyFont="1" applyFill="1" applyBorder="1" applyAlignment="1">
      <alignment horizontal="left"/>
    </xf>
    <xf numFmtId="0" fontId="146" fillId="0" borderId="190" xfId="2697" applyFont="1" applyBorder="1" applyAlignment="1">
      <alignment horizontal="center" vertical="center" wrapText="1"/>
    </xf>
    <xf numFmtId="0" fontId="146" fillId="0" borderId="191" xfId="2697" applyFont="1" applyBorder="1" applyAlignment="1">
      <alignment horizontal="center" vertical="center" wrapText="1"/>
    </xf>
    <xf numFmtId="0" fontId="146" fillId="0" borderId="190" xfId="2697" applyFont="1" applyBorder="1" applyAlignment="1">
      <alignment vertical="center"/>
    </xf>
    <xf numFmtId="4" fontId="146" fillId="0" borderId="190" xfId="43199" applyNumberFormat="1" applyFont="1" applyBorder="1" applyAlignment="1">
      <alignment horizontal="right" vertical="center" wrapText="1"/>
    </xf>
    <xf numFmtId="4" fontId="146" fillId="0" borderId="191" xfId="43199" applyNumberFormat="1" applyFont="1" applyBorder="1" applyAlignment="1">
      <alignment horizontal="right" vertical="center" wrapText="1"/>
    </xf>
    <xf numFmtId="0" fontId="146" fillId="41" borderId="190" xfId="907" applyFont="1" applyFill="1" applyBorder="1"/>
    <xf numFmtId="0" fontId="143" fillId="43" borderId="166" xfId="43405" applyFont="1" applyFill="1" applyBorder="1" applyAlignment="1">
      <alignment horizontal="left" wrapText="1"/>
    </xf>
    <xf numFmtId="10" fontId="143" fillId="43" borderId="166" xfId="847" applyNumberFormat="1" applyFont="1" applyFill="1" applyBorder="1" applyAlignment="1">
      <alignment horizontal="right"/>
    </xf>
    <xf numFmtId="0" fontId="244" fillId="0" borderId="178" xfId="43405" applyFont="1" applyBorder="1"/>
    <xf numFmtId="10" fontId="244" fillId="0" borderId="178" xfId="847" applyNumberFormat="1" applyFont="1" applyFill="1" applyBorder="1"/>
    <xf numFmtId="174" fontId="211" fillId="0" borderId="178" xfId="0" applyNumberFormat="1" applyFont="1" applyBorder="1" applyAlignment="1">
      <alignment horizontal="right"/>
    </xf>
    <xf numFmtId="10" fontId="211" fillId="0" borderId="178" xfId="0" applyNumberFormat="1" applyFont="1" applyBorder="1" applyAlignment="1">
      <alignment horizontal="left"/>
    </xf>
    <xf numFmtId="0" fontId="208" fillId="58" borderId="192" xfId="834" applyFont="1" applyFill="1" applyBorder="1" applyAlignment="1" applyProtection="1">
      <alignment horizontal="left" vertical="center"/>
    </xf>
    <xf numFmtId="0" fontId="208" fillId="58" borderId="193" xfId="834" applyFont="1" applyFill="1" applyBorder="1" applyAlignment="1" applyProtection="1">
      <alignment horizontal="left" vertical="center"/>
    </xf>
    <xf numFmtId="4" fontId="208" fillId="58" borderId="192" xfId="834" applyNumberFormat="1" applyFont="1" applyFill="1" applyBorder="1" applyAlignment="1" applyProtection="1">
      <alignment horizontal="left" vertical="center"/>
    </xf>
    <xf numFmtId="14" fontId="208" fillId="56" borderId="156" xfId="834" applyNumberFormat="1" applyFont="1" applyFill="1" applyBorder="1" applyAlignment="1" applyProtection="1">
      <alignment horizontal="left" vertical="center"/>
    </xf>
    <xf numFmtId="0" fontId="212" fillId="43" borderId="189" xfId="0" applyFont="1" applyFill="1" applyBorder="1" applyAlignment="1">
      <alignment horizontal="center"/>
    </xf>
    <xf numFmtId="0" fontId="212" fillId="43" borderId="194" xfId="0" applyFont="1" applyFill="1" applyBorder="1" applyAlignment="1">
      <alignment horizontal="center"/>
    </xf>
    <xf numFmtId="0" fontId="208" fillId="41" borderId="189" xfId="0" applyFont="1" applyFill="1" applyBorder="1" applyAlignment="1" applyProtection="1">
      <alignment horizontal="left"/>
      <protection hidden="1"/>
    </xf>
    <xf numFmtId="170" fontId="208" fillId="41" borderId="189" xfId="43183" applyNumberFormat="1" applyFont="1" applyFill="1" applyBorder="1" applyAlignment="1" applyProtection="1">
      <alignment horizontal="center" vertical="center"/>
    </xf>
    <xf numFmtId="165" fontId="208" fillId="41" borderId="189" xfId="43184" applyFont="1" applyFill="1" applyBorder="1" applyAlignment="1" applyProtection="1">
      <alignment horizontal="center" vertical="center"/>
    </xf>
    <xf numFmtId="0" fontId="205" fillId="41" borderId="194" xfId="2697" applyFont="1" applyFill="1" applyBorder="1"/>
    <xf numFmtId="43" fontId="110" fillId="0" borderId="194" xfId="43185" applyFont="1" applyFill="1" applyBorder="1" applyAlignment="1" applyProtection="1">
      <alignment vertical="center"/>
    </xf>
    <xf numFmtId="167" fontId="205" fillId="41" borderId="194" xfId="815" applyFont="1" applyFill="1" applyBorder="1"/>
    <xf numFmtId="0" fontId="229" fillId="0" borderId="178" xfId="2697" applyFont="1" applyBorder="1"/>
    <xf numFmtId="10" fontId="205" fillId="0" borderId="178" xfId="847" applyNumberFormat="1" applyFont="1" applyFill="1" applyBorder="1"/>
    <xf numFmtId="0" fontId="229" fillId="41" borderId="194" xfId="2697" applyFont="1" applyFill="1" applyBorder="1" applyAlignment="1">
      <alignment vertical="center" wrapText="1"/>
    </xf>
    <xf numFmtId="170" fontId="205" fillId="0" borderId="194" xfId="43183" applyNumberFormat="1" applyFont="1" applyFill="1" applyBorder="1" applyAlignment="1">
      <alignment vertical="center" wrapText="1"/>
    </xf>
    <xf numFmtId="0" fontId="230" fillId="0" borderId="178" xfId="2697" applyFont="1" applyBorder="1"/>
    <xf numFmtId="10" fontId="208" fillId="0" borderId="178" xfId="2697" applyNumberFormat="1" applyFont="1" applyBorder="1"/>
    <xf numFmtId="0" fontId="205" fillId="41" borderId="178" xfId="2697" applyFont="1" applyFill="1" applyBorder="1"/>
    <xf numFmtId="43" fontId="43" fillId="0" borderId="178" xfId="43185" applyFont="1" applyFill="1" applyBorder="1" applyAlignment="1" applyProtection="1">
      <alignment horizontal="right"/>
      <protection locked="0"/>
    </xf>
    <xf numFmtId="167" fontId="205" fillId="41" borderId="178" xfId="815" applyFont="1" applyFill="1" applyBorder="1"/>
    <xf numFmtId="168" fontId="208" fillId="41" borderId="189" xfId="43185" applyNumberFormat="1" applyFont="1" applyFill="1" applyBorder="1" applyAlignment="1" applyProtection="1">
      <alignment horizontal="right"/>
      <protection locked="0"/>
    </xf>
    <xf numFmtId="165" fontId="208" fillId="41" borderId="189" xfId="43184" applyFont="1" applyFill="1" applyBorder="1" applyAlignment="1" applyProtection="1">
      <alignment horizontal="right"/>
      <protection locked="0"/>
    </xf>
    <xf numFmtId="0" fontId="208" fillId="97" borderId="189" xfId="2697" applyFont="1" applyFill="1" applyBorder="1"/>
    <xf numFmtId="167" fontId="208" fillId="97" borderId="189" xfId="2697" applyNumberFormat="1" applyFont="1" applyFill="1" applyBorder="1"/>
    <xf numFmtId="0" fontId="230" fillId="0" borderId="189" xfId="2697" applyFont="1" applyBorder="1"/>
    <xf numFmtId="170" fontId="205" fillId="0" borderId="189" xfId="43183" applyNumberFormat="1" applyFont="1" applyFill="1" applyBorder="1" applyAlignment="1">
      <alignment vertical="center" wrapText="1"/>
    </xf>
    <xf numFmtId="170" fontId="208" fillId="41" borderId="189" xfId="43183" applyNumberFormat="1" applyFont="1" applyFill="1" applyBorder="1" applyAlignment="1" applyProtection="1">
      <alignment vertical="center"/>
    </xf>
    <xf numFmtId="165" fontId="208" fillId="0" borderId="189" xfId="43184" applyFont="1" applyFill="1" applyBorder="1" applyAlignment="1" applyProtection="1">
      <alignment vertical="center"/>
    </xf>
    <xf numFmtId="0" fontId="208" fillId="97" borderId="189" xfId="0" applyFont="1" applyFill="1" applyBorder="1" applyAlignment="1" applyProtection="1">
      <alignment horizontal="left"/>
      <protection hidden="1"/>
    </xf>
    <xf numFmtId="43" fontId="208" fillId="97" borderId="189" xfId="43183" applyFont="1" applyFill="1" applyBorder="1" applyAlignment="1" applyProtection="1">
      <alignment vertical="center"/>
    </xf>
    <xf numFmtId="165" fontId="208" fillId="97" borderId="189" xfId="43184" applyFont="1" applyFill="1" applyBorder="1" applyAlignment="1" applyProtection="1">
      <alignment vertical="center"/>
    </xf>
    <xf numFmtId="0" fontId="110" fillId="58" borderId="191" xfId="834" applyFont="1" applyFill="1" applyBorder="1" applyAlignment="1" applyProtection="1">
      <alignment horizontal="left" vertical="center"/>
    </xf>
    <xf numFmtId="0" fontId="110" fillId="58" borderId="195" xfId="834" applyFont="1" applyFill="1" applyBorder="1" applyAlignment="1" applyProtection="1">
      <alignment horizontal="left" vertical="center"/>
    </xf>
    <xf numFmtId="0" fontId="110" fillId="56" borderId="191" xfId="834" applyFont="1" applyFill="1" applyBorder="1" applyAlignment="1" applyProtection="1">
      <alignment horizontal="left" vertical="center"/>
    </xf>
    <xf numFmtId="0" fontId="110" fillId="56" borderId="195" xfId="834" applyFont="1" applyFill="1" applyBorder="1" applyAlignment="1" applyProtection="1">
      <alignment horizontal="left" vertical="center"/>
    </xf>
    <xf numFmtId="0" fontId="208" fillId="97" borderId="194" xfId="0" applyFont="1" applyFill="1" applyBorder="1" applyAlignment="1" applyProtection="1">
      <alignment horizontal="left"/>
      <protection hidden="1"/>
    </xf>
    <xf numFmtId="0" fontId="208" fillId="0" borderId="189" xfId="2697" applyFont="1" applyBorder="1" applyAlignment="1">
      <alignment horizontal="left"/>
    </xf>
    <xf numFmtId="165" fontId="208" fillId="0" borderId="189" xfId="2697" applyNumberFormat="1" applyFont="1" applyBorder="1"/>
    <xf numFmtId="168" fontId="205" fillId="0" borderId="196" xfId="863" applyFont="1" applyBorder="1"/>
    <xf numFmtId="0" fontId="205" fillId="97" borderId="194" xfId="0" applyFont="1" applyFill="1" applyBorder="1" applyAlignment="1" applyProtection="1">
      <alignment horizontal="left"/>
      <protection hidden="1"/>
    </xf>
    <xf numFmtId="165" fontId="205" fillId="0" borderId="194" xfId="43184" applyFont="1" applyBorder="1"/>
    <xf numFmtId="168" fontId="205" fillId="0" borderId="190" xfId="863" applyFont="1" applyBorder="1"/>
    <xf numFmtId="0" fontId="205" fillId="97" borderId="178" xfId="0" applyFont="1" applyFill="1" applyBorder="1" applyAlignment="1" applyProtection="1">
      <alignment horizontal="left"/>
      <protection hidden="1"/>
    </xf>
    <xf numFmtId="165" fontId="205" fillId="0" borderId="178" xfId="43184" applyFont="1" applyBorder="1"/>
    <xf numFmtId="14" fontId="110" fillId="56" borderId="195" xfId="834" applyNumberFormat="1" applyFont="1" applyFill="1" applyBorder="1" applyAlignment="1" applyProtection="1">
      <alignment horizontal="left" vertical="center"/>
    </xf>
    <xf numFmtId="0" fontId="217" fillId="43" borderId="189" xfId="0" applyFont="1" applyFill="1" applyBorder="1" applyAlignment="1">
      <alignment horizontal="center"/>
    </xf>
    <xf numFmtId="0" fontId="213" fillId="59" borderId="189" xfId="907" applyFont="1" applyFill="1" applyBorder="1"/>
    <xf numFmtId="219" fontId="213" fillId="59" borderId="189" xfId="863" applyNumberFormat="1" applyFont="1" applyFill="1" applyBorder="1"/>
    <xf numFmtId="0" fontId="205" fillId="0" borderId="189" xfId="907" applyFont="1" applyBorder="1" applyAlignment="1">
      <alignment horizontal="left" indent="1"/>
    </xf>
    <xf numFmtId="219" fontId="218" fillId="41" borderId="189" xfId="863" applyNumberFormat="1" applyFont="1" applyFill="1" applyBorder="1"/>
    <xf numFmtId="168" fontId="205" fillId="0" borderId="178" xfId="863" applyFont="1" applyBorder="1"/>
    <xf numFmtId="0" fontId="210" fillId="43" borderId="178" xfId="0" applyFont="1" applyFill="1" applyBorder="1"/>
    <xf numFmtId="0" fontId="210" fillId="43" borderId="178" xfId="0" applyFont="1" applyFill="1" applyBorder="1" applyAlignment="1">
      <alignment horizontal="center"/>
    </xf>
    <xf numFmtId="0" fontId="205" fillId="0" borderId="194" xfId="0" applyFont="1" applyBorder="1"/>
    <xf numFmtId="44" fontId="205" fillId="0" borderId="194" xfId="863" applyNumberFormat="1" applyFont="1" applyBorder="1"/>
    <xf numFmtId="0" fontId="208" fillId="0" borderId="178" xfId="907" applyFont="1" applyBorder="1"/>
    <xf numFmtId="214" fontId="208" fillId="0" borderId="178" xfId="0" applyNumberFormat="1" applyFont="1" applyBorder="1"/>
    <xf numFmtId="10" fontId="205" fillId="100" borderId="178" xfId="0" applyNumberFormat="1" applyFont="1" applyFill="1" applyBorder="1"/>
    <xf numFmtId="10" fontId="205" fillId="100" borderId="178" xfId="847" applyNumberFormat="1" applyFont="1" applyFill="1" applyBorder="1"/>
    <xf numFmtId="168" fontId="205" fillId="0" borderId="194" xfId="863" applyFont="1" applyBorder="1"/>
    <xf numFmtId="168" fontId="205" fillId="100" borderId="178" xfId="863" applyFont="1" applyFill="1" applyBorder="1"/>
    <xf numFmtId="0" fontId="208" fillId="59" borderId="189" xfId="907" applyFont="1" applyFill="1" applyBorder="1"/>
    <xf numFmtId="170" fontId="208" fillId="59" borderId="189" xfId="907" applyNumberFormat="1" applyFont="1" applyFill="1" applyBorder="1"/>
    <xf numFmtId="168" fontId="208" fillId="59" borderId="189" xfId="863" applyFont="1" applyFill="1" applyBorder="1"/>
    <xf numFmtId="167" fontId="208" fillId="59" borderId="189" xfId="907" applyNumberFormat="1" applyFont="1" applyFill="1" applyBorder="1"/>
    <xf numFmtId="0" fontId="205" fillId="0" borderId="194" xfId="907" applyFont="1" applyBorder="1"/>
    <xf numFmtId="168" fontId="205" fillId="61" borderId="194" xfId="863" applyFont="1" applyFill="1" applyBorder="1"/>
    <xf numFmtId="168" fontId="205" fillId="0" borderId="194" xfId="863" applyFont="1" applyFill="1" applyBorder="1"/>
    <xf numFmtId="168" fontId="205" fillId="44" borderId="194" xfId="863" applyFont="1" applyFill="1" applyBorder="1"/>
    <xf numFmtId="0" fontId="217" fillId="43" borderId="194" xfId="0" applyFont="1" applyFill="1" applyBorder="1" applyAlignment="1">
      <alignment horizontal="center" vertical="center" wrapText="1"/>
    </xf>
    <xf numFmtId="0" fontId="217" fillId="43" borderId="189" xfId="0" applyFont="1" applyFill="1" applyBorder="1" applyAlignment="1">
      <alignment horizontal="center" vertical="center" wrapText="1"/>
    </xf>
    <xf numFmtId="0" fontId="297" fillId="43" borderId="192" xfId="907" applyFont="1" applyFill="1" applyBorder="1"/>
    <xf numFmtId="0" fontId="297" fillId="43" borderId="194" xfId="907" applyFont="1" applyFill="1" applyBorder="1"/>
    <xf numFmtId="0" fontId="297" fillId="43" borderId="193" xfId="907" applyFont="1" applyFill="1" applyBorder="1"/>
    <xf numFmtId="0" fontId="294" fillId="43" borderId="191" xfId="907" applyFont="1" applyFill="1" applyBorder="1"/>
    <xf numFmtId="0" fontId="294" fillId="43" borderId="189" xfId="907" applyFont="1" applyFill="1" applyBorder="1"/>
    <xf numFmtId="0" fontId="294" fillId="43" borderId="190" xfId="907" applyFont="1" applyFill="1" applyBorder="1"/>
    <xf numFmtId="0" fontId="208" fillId="97" borderId="189" xfId="0" applyFont="1" applyFill="1" applyBorder="1"/>
    <xf numFmtId="0" fontId="298" fillId="97" borderId="189" xfId="0" applyFont="1" applyFill="1" applyBorder="1"/>
    <xf numFmtId="0" fontId="216" fillId="97" borderId="189" xfId="0" applyFont="1" applyFill="1" applyBorder="1"/>
    <xf numFmtId="168" fontId="208" fillId="97" borderId="189" xfId="0" applyNumberFormat="1" applyFont="1" applyFill="1" applyBorder="1"/>
    <xf numFmtId="272" fontId="208" fillId="97" borderId="189" xfId="863" applyNumberFormat="1" applyFont="1" applyFill="1" applyBorder="1"/>
    <xf numFmtId="43" fontId="208" fillId="97" borderId="189" xfId="0" applyNumberFormat="1" applyFont="1" applyFill="1" applyBorder="1"/>
    <xf numFmtId="0" fontId="294" fillId="43" borderId="191" xfId="907" applyFont="1" applyFill="1" applyBorder="1" applyAlignment="1">
      <alignment vertical="center"/>
    </xf>
    <xf numFmtId="0" fontId="294" fillId="43" borderId="189" xfId="907" applyFont="1" applyFill="1" applyBorder="1" applyAlignment="1">
      <alignment horizontal="center" vertical="center"/>
    </xf>
    <xf numFmtId="0" fontId="294" fillId="43" borderId="190" xfId="907" applyFont="1" applyFill="1" applyBorder="1" applyAlignment="1">
      <alignment vertical="center"/>
    </xf>
    <xf numFmtId="0" fontId="294" fillId="43" borderId="189" xfId="907" applyFont="1" applyFill="1" applyBorder="1" applyAlignment="1">
      <alignment vertical="center"/>
    </xf>
    <xf numFmtId="0" fontId="294" fillId="121" borderId="192" xfId="907" applyFont="1" applyFill="1" applyBorder="1"/>
    <xf numFmtId="0" fontId="294" fillId="121" borderId="194" xfId="907" applyFont="1" applyFill="1" applyBorder="1" applyAlignment="1">
      <alignment horizontal="center" wrapText="1"/>
    </xf>
    <xf numFmtId="0" fontId="294" fillId="121" borderId="194" xfId="907" applyFont="1" applyFill="1" applyBorder="1" applyAlignment="1">
      <alignment horizontal="center"/>
    </xf>
    <xf numFmtId="0" fontId="294" fillId="121" borderId="193" xfId="907" applyFont="1" applyFill="1" applyBorder="1" applyAlignment="1">
      <alignment horizontal="center"/>
    </xf>
    <xf numFmtId="0" fontId="295" fillId="0" borderId="192" xfId="907" applyFont="1" applyBorder="1"/>
    <xf numFmtId="217" fontId="296" fillId="0" borderId="194" xfId="847" applyNumberFormat="1" applyFont="1" applyFill="1" applyBorder="1"/>
    <xf numFmtId="43" fontId="296" fillId="0" borderId="194" xfId="43408" applyFont="1" applyFill="1" applyBorder="1"/>
    <xf numFmtId="43" fontId="295" fillId="0" borderId="193" xfId="43408" applyFont="1" applyFill="1" applyBorder="1"/>
    <xf numFmtId="219" fontId="295" fillId="122" borderId="189" xfId="43408" applyNumberFormat="1" applyFont="1" applyFill="1" applyBorder="1"/>
    <xf numFmtId="43" fontId="296" fillId="122" borderId="189" xfId="43408" applyFont="1" applyFill="1" applyBorder="1"/>
    <xf numFmtId="167" fontId="296" fillId="122" borderId="195" xfId="815" applyFont="1" applyFill="1" applyBorder="1"/>
    <xf numFmtId="0" fontId="296" fillId="0" borderId="194" xfId="0" applyFont="1" applyBorder="1"/>
    <xf numFmtId="0" fontId="238" fillId="0" borderId="178" xfId="907" applyFont="1" applyBorder="1" applyAlignment="1">
      <alignment horizontal="left"/>
    </xf>
    <xf numFmtId="0" fontId="233" fillId="33" borderId="178" xfId="829" applyFont="1" applyFill="1" applyBorder="1"/>
    <xf numFmtId="0" fontId="205" fillId="33" borderId="178" xfId="831" applyFont="1" applyFill="1" applyBorder="1" applyAlignment="1">
      <alignment vertical="center"/>
    </xf>
    <xf numFmtId="170" fontId="205" fillId="33" borderId="178" xfId="863" applyNumberFormat="1" applyFont="1" applyFill="1" applyBorder="1" applyAlignment="1">
      <alignment vertical="center"/>
    </xf>
    <xf numFmtId="10" fontId="211" fillId="0" borderId="178" xfId="0" applyNumberFormat="1" applyFont="1" applyBorder="1" applyAlignment="1">
      <alignment horizontal="center"/>
    </xf>
    <xf numFmtId="0" fontId="223" fillId="33" borderId="197" xfId="831" applyFont="1" applyFill="1" applyBorder="1" applyAlignment="1">
      <alignment horizontal="left" vertical="center"/>
    </xf>
    <xf numFmtId="0" fontId="212" fillId="43" borderId="189" xfId="0" applyFont="1" applyFill="1" applyBorder="1" applyAlignment="1">
      <alignment horizontal="center" vertical="center" wrapText="1"/>
    </xf>
    <xf numFmtId="0" fontId="205" fillId="0" borderId="178" xfId="831" applyFont="1" applyBorder="1" applyAlignment="1">
      <alignment vertical="center"/>
    </xf>
    <xf numFmtId="168" fontId="205" fillId="33" borderId="178" xfId="863" applyFont="1" applyFill="1" applyBorder="1" applyAlignment="1" applyProtection="1">
      <alignment horizontal="center" vertical="center"/>
      <protection locked="0"/>
    </xf>
    <xf numFmtId="0" fontId="207" fillId="38" borderId="191" xfId="905" applyFont="1" applyFill="1" applyBorder="1" applyAlignment="1">
      <alignment horizontal="center" vertical="center"/>
    </xf>
    <xf numFmtId="0" fontId="207" fillId="38" borderId="189" xfId="905" applyFont="1" applyFill="1" applyBorder="1" applyAlignment="1">
      <alignment vertical="center"/>
    </xf>
    <xf numFmtId="0" fontId="207" fillId="38" borderId="195" xfId="905" applyFont="1" applyFill="1" applyBorder="1" applyAlignment="1">
      <alignment vertical="center"/>
    </xf>
    <xf numFmtId="176" fontId="43" fillId="41" borderId="199" xfId="863" applyNumberFormat="1" applyFont="1" applyFill="1" applyBorder="1" applyAlignment="1">
      <alignment vertical="center"/>
    </xf>
    <xf numFmtId="176" fontId="205" fillId="0" borderId="190" xfId="863" applyNumberFormat="1" applyFont="1" applyFill="1" applyBorder="1" applyAlignment="1">
      <alignment vertical="center"/>
    </xf>
    <xf numFmtId="168" fontId="208" fillId="33" borderId="190" xfId="831" applyNumberFormat="1" applyFont="1" applyFill="1" applyBorder="1" applyAlignment="1">
      <alignment vertical="center"/>
    </xf>
    <xf numFmtId="168" fontId="208" fillId="33" borderId="190" xfId="863" applyFont="1" applyFill="1" applyBorder="1" applyAlignment="1">
      <alignment vertical="center"/>
    </xf>
    <xf numFmtId="168" fontId="212" fillId="0" borderId="178" xfId="863" applyFont="1" applyFill="1" applyBorder="1" applyAlignment="1">
      <alignment horizontal="center" vertical="center"/>
    </xf>
    <xf numFmtId="17" fontId="207" fillId="38" borderId="190" xfId="905" applyNumberFormat="1" applyFont="1" applyFill="1" applyBorder="1" applyAlignment="1">
      <alignment horizontal="center" vertical="center"/>
    </xf>
    <xf numFmtId="0" fontId="33" fillId="33" borderId="190" xfId="907" applyFont="1" applyFill="1" applyBorder="1" applyAlignment="1">
      <alignment horizontal="center" vertical="center"/>
    </xf>
    <xf numFmtId="4" fontId="208" fillId="33" borderId="190" xfId="831" applyNumberFormat="1" applyFont="1" applyFill="1" applyBorder="1" applyAlignment="1">
      <alignment horizontal="right" vertical="center"/>
    </xf>
    <xf numFmtId="4" fontId="205" fillId="33" borderId="190" xfId="863" applyNumberFormat="1" applyFont="1" applyFill="1" applyBorder="1" applyAlignment="1">
      <alignment horizontal="right" vertical="center"/>
    </xf>
    <xf numFmtId="17" fontId="39" fillId="38" borderId="190" xfId="905" applyNumberFormat="1" applyFont="1" applyFill="1" applyBorder="1" applyAlignment="1">
      <alignment horizontal="center" vertical="center"/>
    </xf>
    <xf numFmtId="17" fontId="39" fillId="38" borderId="190" xfId="905" applyNumberFormat="1" applyFont="1" applyFill="1" applyBorder="1" applyAlignment="1">
      <alignment horizontal="center" vertical="center" wrapText="1"/>
    </xf>
    <xf numFmtId="17" fontId="39" fillId="38" borderId="199" xfId="905" applyNumberFormat="1" applyFont="1" applyFill="1" applyBorder="1" applyAlignment="1">
      <alignment horizontal="center" vertical="center" wrapText="1"/>
    </xf>
    <xf numFmtId="176" fontId="33" fillId="0" borderId="190" xfId="907" applyNumberFormat="1" applyFont="1" applyBorder="1" applyAlignment="1">
      <alignment horizontal="center" vertical="center"/>
    </xf>
    <xf numFmtId="171" fontId="30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0" fillId="0" borderId="196" xfId="863" applyBorder="1"/>
    <xf numFmtId="17" fontId="38" fillId="38" borderId="195" xfId="905" applyNumberFormat="1" applyFont="1" applyFill="1" applyBorder="1" applyAlignment="1">
      <alignment horizontal="center" vertical="center" wrapText="1"/>
    </xf>
    <xf numFmtId="17" fontId="38" fillId="38" borderId="190" xfId="905" applyNumberFormat="1" applyFont="1" applyFill="1" applyBorder="1" applyAlignment="1">
      <alignment horizontal="center" vertical="center" wrapText="1"/>
    </xf>
    <xf numFmtId="0" fontId="30" fillId="0" borderId="190" xfId="907" applyBorder="1"/>
    <xf numFmtId="168" fontId="30" fillId="0" borderId="190" xfId="863" applyFont="1" applyFill="1" applyBorder="1" applyAlignment="1"/>
    <xf numFmtId="171" fontId="30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30" fillId="0" borderId="199" xfId="863" applyBorder="1"/>
    <xf numFmtId="0" fontId="33" fillId="0" borderId="190" xfId="907" applyFont="1" applyBorder="1" applyAlignment="1">
      <alignment horizontal="center" vertical="center"/>
    </xf>
    <xf numFmtId="0" fontId="208" fillId="97" borderId="189" xfId="831" applyFont="1" applyFill="1" applyBorder="1" applyAlignment="1">
      <alignment horizontal="center"/>
    </xf>
    <xf numFmtId="4" fontId="208" fillId="97" borderId="189" xfId="831" applyNumberFormat="1" applyFont="1" applyFill="1" applyBorder="1" applyAlignment="1">
      <alignment horizontal="right"/>
    </xf>
    <xf numFmtId="170" fontId="208" fillId="97" borderId="189" xfId="863" applyNumberFormat="1" applyFont="1" applyFill="1" applyBorder="1" applyAlignment="1">
      <alignment horizontal="right"/>
    </xf>
    <xf numFmtId="0" fontId="205" fillId="33" borderId="189" xfId="831" applyFont="1" applyFill="1" applyBorder="1" applyAlignment="1">
      <alignment vertical="center"/>
    </xf>
    <xf numFmtId="170" fontId="208" fillId="97" borderId="189" xfId="863" applyNumberFormat="1" applyFont="1" applyFill="1" applyBorder="1" applyAlignment="1">
      <alignment horizontal="center"/>
    </xf>
    <xf numFmtId="4" fontId="208" fillId="0" borderId="189" xfId="831" applyNumberFormat="1" applyFont="1" applyBorder="1" applyAlignment="1">
      <alignment vertical="center"/>
    </xf>
    <xf numFmtId="14" fontId="208" fillId="42" borderId="189" xfId="863" applyNumberFormat="1" applyFont="1" applyFill="1" applyBorder="1" applyAlignment="1">
      <alignment horizontal="center" vertical="top" wrapText="1"/>
    </xf>
    <xf numFmtId="216" fontId="208" fillId="97" borderId="189" xfId="863" applyNumberFormat="1" applyFont="1" applyFill="1" applyBorder="1" applyAlignment="1">
      <alignment horizontal="center"/>
    </xf>
    <xf numFmtId="0" fontId="239" fillId="33" borderId="178" xfId="829" applyFont="1" applyFill="1" applyBorder="1"/>
    <xf numFmtId="0" fontId="0" fillId="0" borderId="178" xfId="0" applyBorder="1"/>
    <xf numFmtId="0" fontId="212" fillId="43" borderId="189" xfId="0" applyFont="1" applyFill="1" applyBorder="1"/>
    <xf numFmtId="167" fontId="208" fillId="0" borderId="189" xfId="815" applyFont="1" applyBorder="1"/>
    <xf numFmtId="10" fontId="205" fillId="44" borderId="189" xfId="847" applyNumberFormat="1" applyFont="1" applyFill="1" applyBorder="1" applyAlignment="1">
      <alignment horizontal="right"/>
    </xf>
    <xf numFmtId="10" fontId="205" fillId="45" borderId="189" xfId="847" applyNumberFormat="1" applyFont="1" applyFill="1" applyBorder="1" applyAlignment="1">
      <alignment horizontal="right"/>
    </xf>
    <xf numFmtId="0" fontId="236" fillId="43" borderId="189" xfId="0" applyFont="1" applyFill="1" applyBorder="1" applyAlignment="1">
      <alignment horizontal="center" vertical="center" wrapText="1"/>
    </xf>
    <xf numFmtId="168" fontId="205" fillId="54" borderId="178" xfId="903" applyFont="1" applyFill="1" applyBorder="1" applyAlignment="1">
      <alignment horizontal="left" vertical="top" wrapText="1"/>
    </xf>
    <xf numFmtId="276" fontId="205" fillId="112" borderId="178" xfId="863" applyNumberFormat="1" applyFont="1" applyFill="1" applyBorder="1" applyAlignment="1">
      <alignment horizontal="right"/>
    </xf>
    <xf numFmtId="168" fontId="205" fillId="54" borderId="194" xfId="903" applyFont="1" applyFill="1" applyBorder="1" applyAlignment="1">
      <alignment horizontal="left" vertical="top"/>
    </xf>
    <xf numFmtId="168" fontId="205" fillId="54" borderId="194" xfId="903" applyFont="1" applyFill="1" applyBorder="1" applyAlignment="1">
      <alignment horizontal="right"/>
    </xf>
    <xf numFmtId="0" fontId="208" fillId="0" borderId="189" xfId="0" applyFont="1" applyBorder="1"/>
    <xf numFmtId="167" fontId="208" fillId="0" borderId="189" xfId="0" applyNumberFormat="1" applyFont="1" applyBorder="1"/>
    <xf numFmtId="0" fontId="205" fillId="0" borderId="194" xfId="0" applyFont="1" applyBorder="1" applyAlignment="1">
      <alignment horizontal="left"/>
    </xf>
    <xf numFmtId="167" fontId="205" fillId="112" borderId="194" xfId="815" applyFont="1" applyFill="1" applyBorder="1"/>
    <xf numFmtId="168" fontId="43" fillId="41" borderId="178" xfId="903" applyFont="1" applyFill="1" applyBorder="1" applyAlignment="1">
      <alignment horizontal="left" vertical="top" wrapText="1"/>
    </xf>
    <xf numFmtId="168" fontId="43" fillId="41" borderId="178" xfId="863" applyFont="1" applyFill="1" applyBorder="1" applyAlignment="1">
      <alignment horizontal="right"/>
    </xf>
    <xf numFmtId="168" fontId="205" fillId="41" borderId="178" xfId="903" applyFont="1" applyFill="1" applyBorder="1" applyAlignment="1">
      <alignment horizontal="left" vertical="top" wrapText="1"/>
    </xf>
    <xf numFmtId="167" fontId="205" fillId="41" borderId="178" xfId="815" applyFont="1" applyFill="1" applyBorder="1" applyAlignment="1">
      <alignment horizontal="right"/>
    </xf>
    <xf numFmtId="167" fontId="205" fillId="0" borderId="194" xfId="815" applyFont="1" applyFill="1" applyBorder="1"/>
    <xf numFmtId="168" fontId="110" fillId="41" borderId="178" xfId="903" applyFont="1" applyFill="1" applyBorder="1" applyAlignment="1">
      <alignment horizontal="left" vertical="top" wrapText="1"/>
    </xf>
    <xf numFmtId="167" fontId="110" fillId="41" borderId="178" xfId="815" applyFont="1" applyFill="1" applyBorder="1" applyAlignment="1">
      <alignment horizontal="right"/>
    </xf>
    <xf numFmtId="0" fontId="205" fillId="0" borderId="178" xfId="0" applyFont="1" applyBorder="1" applyAlignment="1">
      <alignment horizontal="left"/>
    </xf>
    <xf numFmtId="167" fontId="205" fillId="112" borderId="178" xfId="815" applyFont="1" applyFill="1" applyBorder="1"/>
    <xf numFmtId="167" fontId="205" fillId="0" borderId="178" xfId="815" applyFont="1" applyFill="1" applyBorder="1"/>
    <xf numFmtId="0" fontId="205" fillId="0" borderId="189" xfId="0" applyFont="1" applyBorder="1"/>
    <xf numFmtId="4" fontId="205" fillId="0" borderId="189" xfId="0" applyNumberFormat="1" applyFont="1" applyBorder="1"/>
    <xf numFmtId="43" fontId="205" fillId="0" borderId="194" xfId="0" applyNumberFormat="1" applyFont="1" applyBorder="1"/>
    <xf numFmtId="167" fontId="205" fillId="0" borderId="194" xfId="0" applyNumberFormat="1" applyFont="1" applyBorder="1"/>
    <xf numFmtId="43" fontId="205" fillId="0" borderId="178" xfId="0" applyNumberFormat="1" applyFont="1" applyBorder="1"/>
    <xf numFmtId="167" fontId="205" fillId="0" borderId="178" xfId="0" applyNumberFormat="1" applyFont="1" applyBorder="1"/>
    <xf numFmtId="165" fontId="205" fillId="0" borderId="194" xfId="0" applyNumberFormat="1" applyFont="1" applyBorder="1"/>
    <xf numFmtId="165" fontId="205" fillId="0" borderId="178" xfId="0" applyNumberFormat="1" applyFont="1" applyBorder="1"/>
    <xf numFmtId="10" fontId="233" fillId="0" borderId="178" xfId="0" applyNumberFormat="1" applyFont="1" applyBorder="1" applyAlignment="1">
      <alignment horizontal="left"/>
    </xf>
    <xf numFmtId="0" fontId="205" fillId="33" borderId="178" xfId="829" applyFont="1" applyFill="1" applyBorder="1" applyAlignment="1">
      <alignment horizontal="center"/>
    </xf>
    <xf numFmtId="0" fontId="286" fillId="43" borderId="194" xfId="832" applyFont="1" applyFill="1" applyBorder="1" applyAlignment="1">
      <alignment horizontal="center"/>
    </xf>
    <xf numFmtId="167" fontId="282" fillId="0" borderId="194" xfId="815" applyFont="1" applyBorder="1"/>
    <xf numFmtId="0" fontId="286" fillId="43" borderId="178" xfId="832" applyFont="1" applyFill="1" applyBorder="1" applyAlignment="1">
      <alignment horizontal="center"/>
    </xf>
    <xf numFmtId="167" fontId="282" fillId="0" borderId="178" xfId="815" applyFont="1" applyFill="1" applyBorder="1"/>
    <xf numFmtId="4" fontId="110" fillId="0" borderId="189" xfId="43199" applyNumberFormat="1" applyFont="1" applyFill="1" applyBorder="1" applyAlignment="1">
      <alignment vertical="center"/>
    </xf>
    <xf numFmtId="0" fontId="287" fillId="43" borderId="192" xfId="0" applyFont="1" applyFill="1" applyBorder="1"/>
    <xf numFmtId="167" fontId="282" fillId="0" borderId="194" xfId="815" applyFont="1" applyFill="1" applyBorder="1"/>
    <xf numFmtId="10" fontId="282" fillId="0" borderId="193" xfId="847" applyNumberFormat="1" applyFont="1" applyFill="1" applyBorder="1" applyAlignment="1">
      <alignment horizontal="center"/>
    </xf>
    <xf numFmtId="0" fontId="287" fillId="43" borderId="189" xfId="0" applyFont="1" applyFill="1" applyBorder="1"/>
    <xf numFmtId="40" fontId="289" fillId="43" borderId="189" xfId="0" applyNumberFormat="1" applyFont="1" applyFill="1" applyBorder="1"/>
    <xf numFmtId="10" fontId="289" fillId="43" borderId="189" xfId="0" applyNumberFormat="1" applyFont="1" applyFill="1" applyBorder="1" applyAlignment="1">
      <alignment horizontal="center"/>
    </xf>
    <xf numFmtId="0" fontId="205" fillId="0" borderId="190" xfId="0" applyFont="1" applyBorder="1"/>
    <xf numFmtId="10" fontId="283" fillId="0" borderId="0" xfId="2578" applyNumberFormat="1" applyFont="1" applyFill="1" applyBorder="1" applyAlignment="1">
      <alignment horizontal="center" vertical="center"/>
    </xf>
    <xf numFmtId="170" fontId="283" fillId="0" borderId="0" xfId="863" applyNumberFormat="1" applyFont="1" applyBorder="1" applyAlignment="1">
      <alignment vertical="center"/>
    </xf>
    <xf numFmtId="0" fontId="251" fillId="58" borderId="192" xfId="834" applyFont="1" applyFill="1" applyBorder="1" applyAlignment="1" applyProtection="1">
      <alignment horizontal="left" vertical="center"/>
    </xf>
    <xf numFmtId="0" fontId="250" fillId="0" borderId="194" xfId="43437" quotePrefix="1" applyFont="1" applyBorder="1" applyAlignment="1">
      <alignment horizontal="left" vertical="center"/>
    </xf>
    <xf numFmtId="278" fontId="250" fillId="41" borderId="194" xfId="43439" applyNumberFormat="1" applyFont="1" applyFill="1" applyBorder="1" applyAlignment="1">
      <alignment vertical="center" wrapText="1"/>
    </xf>
    <xf numFmtId="0" fontId="250" fillId="0" borderId="196" xfId="43437" quotePrefix="1" applyFont="1" applyBorder="1" applyAlignment="1">
      <alignment horizontal="left" vertical="center"/>
    </xf>
    <xf numFmtId="170" fontId="312" fillId="42" borderId="196" xfId="863" applyNumberFormat="1" applyFont="1" applyFill="1" applyBorder="1" applyAlignment="1">
      <alignment vertical="center"/>
    </xf>
    <xf numFmtId="170" fontId="309" fillId="42" borderId="199" xfId="863" applyNumberFormat="1" applyFont="1" applyFill="1" applyBorder="1" applyAlignment="1">
      <alignment vertical="center"/>
    </xf>
    <xf numFmtId="170" fontId="250" fillId="42" borderId="196" xfId="863" applyNumberFormat="1" applyFont="1" applyFill="1" applyBorder="1" applyAlignment="1">
      <alignment vertical="center"/>
    </xf>
    <xf numFmtId="0" fontId="250" fillId="0" borderId="199" xfId="43437" quotePrefix="1" applyFont="1" applyBorder="1" applyAlignment="1">
      <alignment horizontal="left" vertical="center"/>
    </xf>
    <xf numFmtId="170" fontId="250" fillId="33" borderId="199" xfId="863" applyNumberFormat="1" applyFont="1" applyFill="1" applyBorder="1" applyAlignment="1">
      <alignment vertical="center"/>
    </xf>
    <xf numFmtId="0" fontId="260" fillId="101" borderId="189" xfId="43438" applyFont="1" applyFill="1" applyBorder="1" applyAlignment="1">
      <alignment horizontal="center" vertical="center" wrapText="1"/>
    </xf>
    <xf numFmtId="0" fontId="250" fillId="0" borderId="200" xfId="43437" quotePrefix="1" applyFont="1" applyBorder="1" applyAlignment="1">
      <alignment horizontal="left" vertical="center"/>
    </xf>
    <xf numFmtId="170" fontId="250" fillId="41" borderId="201" xfId="863" applyNumberFormat="1" applyFont="1" applyFill="1" applyBorder="1" applyAlignment="1">
      <alignment vertical="center" wrapText="1"/>
    </xf>
    <xf numFmtId="170" fontId="250" fillId="41" borderId="194" xfId="863" applyNumberFormat="1" applyFont="1" applyFill="1" applyBorder="1" applyAlignment="1">
      <alignment vertical="center" wrapText="1"/>
    </xf>
    <xf numFmtId="170" fontId="250" fillId="41" borderId="194" xfId="863" applyNumberFormat="1" applyFont="1" applyFill="1" applyBorder="1" applyAlignment="1">
      <alignment vertical="center"/>
    </xf>
    <xf numFmtId="170" fontId="251" fillId="60" borderId="189" xfId="863" applyNumberFormat="1" applyFont="1" applyFill="1" applyBorder="1" applyAlignment="1">
      <alignment vertical="center" wrapText="1"/>
    </xf>
    <xf numFmtId="0" fontId="260" fillId="38" borderId="189" xfId="43438" applyFont="1" applyFill="1" applyBorder="1" applyAlignment="1">
      <alignment horizontal="center" vertical="center" wrapText="1"/>
    </xf>
    <xf numFmtId="0" fontId="250" fillId="123" borderId="194" xfId="43437" applyFont="1" applyFill="1" applyBorder="1" applyAlignment="1">
      <alignment vertical="center" wrapText="1"/>
    </xf>
    <xf numFmtId="0" fontId="314" fillId="55" borderId="192" xfId="0" applyFont="1" applyFill="1" applyBorder="1" applyAlignment="1">
      <alignment vertical="center"/>
    </xf>
    <xf numFmtId="0" fontId="314" fillId="55" borderId="202" xfId="0" applyFont="1" applyFill="1" applyBorder="1" applyAlignment="1">
      <alignment vertical="center"/>
    </xf>
    <xf numFmtId="170" fontId="250" fillId="0" borderId="196" xfId="863" applyNumberFormat="1" applyFont="1" applyBorder="1" applyAlignment="1">
      <alignment vertical="center"/>
    </xf>
    <xf numFmtId="170" fontId="250" fillId="0" borderId="192" xfId="863" applyNumberFormat="1" applyFont="1" applyBorder="1" applyAlignment="1">
      <alignment vertical="center"/>
    </xf>
    <xf numFmtId="272" fontId="250" fillId="0" borderId="196" xfId="863" applyNumberFormat="1" applyFont="1" applyBorder="1" applyAlignment="1">
      <alignment vertical="center"/>
    </xf>
    <xf numFmtId="170" fontId="250" fillId="0" borderId="193" xfId="863" applyNumberFormat="1" applyFont="1" applyBorder="1" applyAlignment="1">
      <alignment vertical="center"/>
    </xf>
    <xf numFmtId="170" fontId="250" fillId="0" borderId="199" xfId="863" applyNumberFormat="1" applyFont="1" applyBorder="1" applyAlignment="1">
      <alignment vertical="center"/>
    </xf>
    <xf numFmtId="272" fontId="250" fillId="0" borderId="199" xfId="863" applyNumberFormat="1" applyFont="1" applyBorder="1" applyAlignment="1">
      <alignment vertical="center"/>
    </xf>
    <xf numFmtId="0" fontId="250" fillId="0" borderId="191" xfId="0" applyFont="1" applyBorder="1" applyAlignment="1">
      <alignment horizontal="left" vertical="center"/>
    </xf>
    <xf numFmtId="279" fontId="250" fillId="0" borderId="189" xfId="0" applyNumberFormat="1" applyFont="1" applyBorder="1" applyAlignment="1">
      <alignment vertical="center"/>
    </xf>
    <xf numFmtId="170" fontId="250" fillId="0" borderId="190" xfId="863" applyNumberFormat="1" applyFont="1" applyBorder="1" applyAlignment="1">
      <alignment vertical="center"/>
    </xf>
    <xf numFmtId="0" fontId="251" fillId="0" borderId="191" xfId="0" applyFont="1" applyBorder="1" applyAlignment="1">
      <alignment vertical="center"/>
    </xf>
    <xf numFmtId="0" fontId="251" fillId="0" borderId="189" xfId="0" applyFont="1" applyBorder="1" applyAlignment="1">
      <alignment vertical="center"/>
    </xf>
    <xf numFmtId="170" fontId="251" fillId="0" borderId="190" xfId="863" applyNumberFormat="1" applyFont="1" applyFill="1" applyBorder="1" applyAlignment="1">
      <alignment vertical="center"/>
    </xf>
    <xf numFmtId="170" fontId="251" fillId="0" borderId="195" xfId="863" applyNumberFormat="1" applyFont="1" applyFill="1" applyBorder="1" applyAlignment="1">
      <alignment vertical="center"/>
    </xf>
    <xf numFmtId="170" fontId="251" fillId="0" borderId="199" xfId="863" applyNumberFormat="1" applyFont="1" applyFill="1" applyBorder="1" applyAlignment="1">
      <alignment vertical="center"/>
    </xf>
    <xf numFmtId="0" fontId="272" fillId="101" borderId="190" xfId="2697" applyFont="1" applyFill="1" applyBorder="1"/>
    <xf numFmtId="14" fontId="30" fillId="0" borderId="190" xfId="2697" applyNumberFormat="1" applyBorder="1"/>
    <xf numFmtId="0" fontId="30" fillId="0" borderId="190" xfId="2697" applyBorder="1"/>
    <xf numFmtId="43" fontId="30" fillId="0" borderId="190" xfId="2697" applyNumberFormat="1" applyBorder="1"/>
    <xf numFmtId="168" fontId="0" fillId="0" borderId="190" xfId="863" applyFont="1" applyBorder="1"/>
    <xf numFmtId="0" fontId="272" fillId="97" borderId="190" xfId="2697" applyFont="1" applyFill="1" applyBorder="1"/>
    <xf numFmtId="168" fontId="272" fillId="97" borderId="190" xfId="863" applyFont="1" applyFill="1" applyBorder="1"/>
    <xf numFmtId="0" fontId="117" fillId="55" borderId="189" xfId="2697" applyFont="1" applyFill="1" applyBorder="1" applyAlignment="1">
      <alignment horizontal="left" vertical="center" wrapText="1"/>
    </xf>
    <xf numFmtId="0" fontId="117" fillId="55" borderId="203" xfId="2697" applyFont="1" applyFill="1" applyBorder="1" applyAlignment="1">
      <alignment horizontal="center" vertical="center" wrapText="1"/>
    </xf>
    <xf numFmtId="0" fontId="43" fillId="0" borderId="194" xfId="2697" applyFont="1" applyBorder="1" applyAlignment="1">
      <alignment vertical="center"/>
    </xf>
    <xf numFmtId="0" fontId="43" fillId="0" borderId="193" xfId="2697" applyFont="1" applyBorder="1" applyAlignment="1">
      <alignment vertical="center"/>
    </xf>
    <xf numFmtId="269" fontId="43" fillId="0" borderId="192" xfId="2697" applyNumberFormat="1" applyFont="1" applyBorder="1" applyAlignment="1">
      <alignment vertical="center"/>
    </xf>
    <xf numFmtId="168" fontId="43" fillId="0" borderId="196" xfId="863" applyFont="1" applyBorder="1" applyAlignment="1">
      <alignment vertical="center"/>
    </xf>
    <xf numFmtId="269" fontId="43" fillId="0" borderId="196" xfId="2697" applyNumberFormat="1" applyFont="1" applyBorder="1" applyAlignment="1">
      <alignment vertical="center"/>
    </xf>
    <xf numFmtId="168" fontId="43" fillId="0" borderId="199" xfId="863" applyFont="1" applyBorder="1" applyAlignment="1">
      <alignment vertical="center"/>
    </xf>
    <xf numFmtId="269" fontId="43" fillId="0" borderId="199" xfId="2697" applyNumberFormat="1" applyFont="1" applyBorder="1" applyAlignment="1">
      <alignment vertical="center"/>
    </xf>
    <xf numFmtId="0" fontId="110" fillId="59" borderId="178" xfId="2697" applyFont="1" applyFill="1" applyBorder="1" applyAlignment="1">
      <alignment vertical="center"/>
    </xf>
    <xf numFmtId="270" fontId="110" fillId="59" borderId="190" xfId="43183" applyNumberFormat="1" applyFont="1" applyFill="1" applyBorder="1" applyAlignment="1">
      <alignment vertical="center"/>
    </xf>
    <xf numFmtId="270" fontId="110" fillId="59" borderId="191" xfId="43183" applyNumberFormat="1" applyFont="1" applyFill="1" applyBorder="1" applyAlignment="1">
      <alignment vertical="center"/>
    </xf>
    <xf numFmtId="0" fontId="43" fillId="60" borderId="195" xfId="905" applyFont="1" applyFill="1" applyBorder="1" applyAlignment="1">
      <alignment horizontal="left" vertical="center"/>
    </xf>
    <xf numFmtId="0" fontId="43" fillId="98" borderId="190" xfId="2697" applyFont="1" applyFill="1" applyBorder="1" applyAlignment="1">
      <alignment vertical="center"/>
    </xf>
    <xf numFmtId="271" fontId="43" fillId="60" borderId="189" xfId="2697" applyNumberFormat="1" applyFont="1" applyFill="1" applyBorder="1" applyAlignment="1">
      <alignment vertical="center"/>
    </xf>
    <xf numFmtId="0" fontId="110" fillId="60" borderId="195" xfId="905" applyFont="1" applyFill="1" applyBorder="1" applyAlignment="1">
      <alignment horizontal="left" vertical="center"/>
    </xf>
    <xf numFmtId="0" fontId="43" fillId="98" borderId="190" xfId="2697" applyFont="1" applyFill="1" applyBorder="1"/>
    <xf numFmtId="270" fontId="110" fillId="98" borderId="189" xfId="2697" applyNumberFormat="1" applyFont="1" applyFill="1" applyBorder="1" applyAlignment="1">
      <alignment vertical="center"/>
    </xf>
    <xf numFmtId="270" fontId="110" fillId="60" borderId="189" xfId="2697" applyNumberFormat="1" applyFont="1" applyFill="1" applyBorder="1" applyAlignment="1">
      <alignment vertical="center"/>
    </xf>
    <xf numFmtId="271" fontId="43" fillId="98" borderId="189" xfId="2697" applyNumberFormat="1" applyFont="1" applyFill="1" applyBorder="1" applyAlignment="1">
      <alignment vertical="center"/>
    </xf>
    <xf numFmtId="0" fontId="43" fillId="0" borderId="194" xfId="2697" applyFont="1" applyBorder="1"/>
    <xf numFmtId="171" fontId="117" fillId="43" borderId="192" xfId="2697" applyNumberFormat="1" applyFont="1" applyFill="1" applyBorder="1" applyAlignment="1">
      <alignment horizontal="center" vertical="center" wrapText="1"/>
    </xf>
    <xf numFmtId="0" fontId="30" fillId="0" borderId="190" xfId="0" applyFont="1" applyBorder="1"/>
    <xf numFmtId="0" fontId="0" fillId="0" borderId="190" xfId="0" applyBorder="1"/>
    <xf numFmtId="171" fontId="117" fillId="55" borderId="192" xfId="2697" applyNumberFormat="1" applyFont="1" applyFill="1" applyBorder="1" applyAlignment="1">
      <alignment horizontal="center" vertical="center" wrapText="1"/>
    </xf>
    <xf numFmtId="171" fontId="117" fillId="55" borderId="194" xfId="2697" applyNumberFormat="1" applyFont="1" applyFill="1" applyBorder="1" applyAlignment="1">
      <alignment horizontal="center" vertical="center" wrapText="1"/>
    </xf>
    <xf numFmtId="171" fontId="117" fillId="55" borderId="193" xfId="2697" applyNumberFormat="1" applyFont="1" applyFill="1" applyBorder="1" applyAlignment="1">
      <alignment horizontal="center" vertical="center" wrapText="1"/>
    </xf>
    <xf numFmtId="0" fontId="221" fillId="0" borderId="178" xfId="0" applyFont="1" applyBorder="1" applyAlignment="1">
      <alignment horizontal="right"/>
    </xf>
    <xf numFmtId="0" fontId="205" fillId="0" borderId="204" xfId="832" applyFont="1" applyBorder="1"/>
    <xf numFmtId="0" fontId="205" fillId="33" borderId="204" xfId="0" applyFont="1" applyFill="1" applyBorder="1"/>
    <xf numFmtId="0" fontId="208" fillId="33" borderId="191" xfId="831" applyFont="1" applyFill="1" applyBorder="1" applyAlignment="1">
      <alignment vertical="center"/>
    </xf>
    <xf numFmtId="0" fontId="208" fillId="33" borderId="195" xfId="831" applyFont="1" applyFill="1" applyBorder="1" applyAlignment="1">
      <alignment vertical="center"/>
    </xf>
    <xf numFmtId="0" fontId="208" fillId="0" borderId="190" xfId="832" applyFont="1" applyBorder="1" applyAlignment="1">
      <alignment horizontal="center"/>
    </xf>
    <xf numFmtId="0" fontId="208" fillId="44" borderId="190" xfId="832" applyFont="1" applyFill="1" applyBorder="1" applyAlignment="1">
      <alignment horizontal="center"/>
    </xf>
    <xf numFmtId="0" fontId="208" fillId="44" borderId="190" xfId="0" applyFont="1" applyFill="1" applyBorder="1"/>
    <xf numFmtId="0" fontId="205" fillId="0" borderId="190" xfId="832" applyFont="1" applyBorder="1" applyAlignment="1">
      <alignment horizontal="center"/>
    </xf>
    <xf numFmtId="0" fontId="205" fillId="33" borderId="192" xfId="789" applyFont="1" applyFill="1" applyBorder="1"/>
    <xf numFmtId="17" fontId="205" fillId="0" borderId="193" xfId="0" applyNumberFormat="1" applyFont="1" applyBorder="1"/>
    <xf numFmtId="195" fontId="205" fillId="0" borderId="190" xfId="832" applyNumberFormat="1" applyFont="1" applyBorder="1"/>
    <xf numFmtId="0" fontId="205" fillId="0" borderId="156" xfId="0" applyFont="1" applyBorder="1"/>
    <xf numFmtId="17" fontId="205" fillId="0" borderId="155" xfId="0" applyNumberFormat="1" applyFont="1" applyBorder="1"/>
    <xf numFmtId="172" fontId="215" fillId="0" borderId="190" xfId="863" applyNumberFormat="1" applyFont="1" applyFill="1" applyBorder="1" applyAlignment="1">
      <alignment vertical="top"/>
    </xf>
    <xf numFmtId="165" fontId="227" fillId="44" borderId="190" xfId="863" applyNumberFormat="1" applyFont="1" applyFill="1" applyBorder="1" applyAlignment="1">
      <alignment vertical="top"/>
    </xf>
    <xf numFmtId="165" fontId="215" fillId="0" borderId="190" xfId="863" applyNumberFormat="1" applyFont="1" applyFill="1" applyBorder="1" applyAlignment="1">
      <alignment vertical="top"/>
    </xf>
    <xf numFmtId="0" fontId="207" fillId="0" borderId="189" xfId="832" applyFont="1" applyBorder="1"/>
    <xf numFmtId="0" fontId="205" fillId="0" borderId="189" xfId="832" applyFont="1" applyBorder="1"/>
    <xf numFmtId="0" fontId="205" fillId="0" borderId="191" xfId="0" applyFont="1" applyBorder="1" applyAlignment="1">
      <alignment horizontal="right"/>
    </xf>
    <xf numFmtId="0" fontId="205" fillId="0" borderId="195" xfId="832" applyFont="1" applyBorder="1" applyAlignment="1">
      <alignment horizontal="left"/>
    </xf>
    <xf numFmtId="0" fontId="205" fillId="41" borderId="191" xfId="0" applyFont="1" applyFill="1" applyBorder="1" applyAlignment="1">
      <alignment horizontal="right"/>
    </xf>
    <xf numFmtId="0" fontId="205" fillId="41" borderId="195" xfId="832" applyFont="1" applyFill="1" applyBorder="1" applyAlignment="1">
      <alignment horizontal="left"/>
    </xf>
    <xf numFmtId="171" fontId="205" fillId="0" borderId="194" xfId="0" applyNumberFormat="1" applyFont="1" applyBorder="1"/>
    <xf numFmtId="171" fontId="205" fillId="0" borderId="178" xfId="0" applyNumberFormat="1" applyFont="1" applyBorder="1"/>
    <xf numFmtId="167" fontId="208" fillId="0" borderId="191" xfId="815" applyFont="1" applyFill="1" applyBorder="1"/>
    <xf numFmtId="167" fontId="208" fillId="0" borderId="195" xfId="815" applyFont="1" applyFill="1" applyBorder="1"/>
    <xf numFmtId="167" fontId="208" fillId="0" borderId="189" xfId="815" applyFont="1" applyFill="1" applyBorder="1"/>
    <xf numFmtId="167" fontId="205" fillId="0" borderId="191" xfId="815" applyFont="1" applyFill="1" applyBorder="1"/>
    <xf numFmtId="167" fontId="205" fillId="0" borderId="195" xfId="815" applyFont="1" applyFill="1" applyBorder="1"/>
    <xf numFmtId="167" fontId="208" fillId="0" borderId="191" xfId="815" applyFont="1" applyBorder="1"/>
    <xf numFmtId="167" fontId="208" fillId="0" borderId="195" xfId="815" applyFont="1" applyBorder="1"/>
    <xf numFmtId="0" fontId="205" fillId="41" borderId="195" xfId="832" applyFont="1" applyFill="1" applyBorder="1" applyAlignment="1">
      <alignment horizontal="center"/>
    </xf>
    <xf numFmtId="167" fontId="208" fillId="0" borderId="190" xfId="815" applyFont="1" applyBorder="1"/>
    <xf numFmtId="0" fontId="34" fillId="33" borderId="197" xfId="831" applyFont="1" applyFill="1" applyBorder="1" applyAlignment="1">
      <alignment horizontal="left"/>
    </xf>
    <xf numFmtId="0" fontId="39" fillId="39" borderId="190" xfId="831" applyFont="1" applyFill="1" applyBorder="1" applyAlignment="1">
      <alignment horizontal="center" vertical="center"/>
    </xf>
    <xf numFmtId="14" fontId="33" fillId="0" borderId="0" xfId="831" applyNumberFormat="1" applyFont="1"/>
    <xf numFmtId="17" fontId="43" fillId="0" borderId="190" xfId="831" applyNumberFormat="1" applyFont="1" applyBorder="1" applyAlignment="1">
      <alignment horizontal="center"/>
    </xf>
    <xf numFmtId="172" fontId="43" fillId="0" borderId="190" xfId="863" applyNumberFormat="1" applyFont="1" applyBorder="1" applyAlignment="1">
      <alignment horizontal="center"/>
    </xf>
    <xf numFmtId="196" fontId="43" fillId="0" borderId="190" xfId="863" applyNumberFormat="1" applyFont="1" applyBorder="1" applyAlignment="1">
      <alignment horizontal="center"/>
    </xf>
    <xf numFmtId="0" fontId="2" fillId="0" borderId="0" xfId="43418" applyFont="1"/>
    <xf numFmtId="0" fontId="2" fillId="0" borderId="0" xfId="43418" quotePrefix="1" applyFont="1"/>
    <xf numFmtId="0" fontId="2" fillId="0" borderId="0" xfId="43418" applyFont="1" applyAlignment="1">
      <alignment horizontal="center" vertical="center"/>
    </xf>
    <xf numFmtId="40" fontId="120" fillId="0" borderId="190" xfId="43410" applyNumberFormat="1" applyFont="1" applyBorder="1" applyAlignment="1">
      <alignment vertical="center"/>
    </xf>
    <xf numFmtId="40" fontId="120" fillId="42" borderId="190" xfId="43410" applyNumberFormat="1" applyFont="1" applyFill="1" applyBorder="1" applyAlignment="1">
      <alignment vertical="center"/>
    </xf>
    <xf numFmtId="0" fontId="50" fillId="110" borderId="205" xfId="43411" applyFont="1" applyFill="1" applyBorder="1" applyAlignment="1">
      <alignment horizontal="center"/>
    </xf>
    <xf numFmtId="0" fontId="50" fillId="0" borderId="206" xfId="43411" applyFont="1" applyBorder="1" applyAlignment="1">
      <alignment horizontal="right" wrapText="1"/>
    </xf>
    <xf numFmtId="0" fontId="50" fillId="0" borderId="206" xfId="43411" applyFont="1" applyBorder="1" applyAlignment="1">
      <alignment wrapText="1"/>
    </xf>
    <xf numFmtId="14" fontId="50" fillId="0" borderId="206" xfId="43411" applyNumberFormat="1" applyFont="1" applyBorder="1" applyAlignment="1">
      <alignment horizontal="right" wrapText="1"/>
    </xf>
    <xf numFmtId="267" fontId="50" fillId="0" borderId="206" xfId="43411" applyNumberFormat="1" applyFont="1" applyBorder="1" applyAlignment="1">
      <alignment horizontal="right" wrapText="1"/>
    </xf>
    <xf numFmtId="0" fontId="251" fillId="0" borderId="190" xfId="7308" applyFont="1" applyBorder="1"/>
    <xf numFmtId="214" fontId="250" fillId="0" borderId="190" xfId="7308" applyNumberFormat="1" applyFont="1" applyBorder="1"/>
    <xf numFmtId="0" fontId="261" fillId="0" borderId="190" xfId="7308" applyFont="1" applyBorder="1" applyAlignment="1">
      <alignment vertical="center"/>
    </xf>
    <xf numFmtId="0" fontId="250" fillId="42" borderId="190" xfId="7308" applyFont="1" applyFill="1" applyBorder="1" applyAlignment="1">
      <alignment horizontal="center"/>
    </xf>
    <xf numFmtId="0" fontId="250" fillId="0" borderId="190" xfId="7308" applyFont="1" applyBorder="1"/>
    <xf numFmtId="174" fontId="250" fillId="0" borderId="190" xfId="7308" applyNumberFormat="1" applyFont="1" applyBorder="1"/>
    <xf numFmtId="266" fontId="250" fillId="0" borderId="190" xfId="7308" applyNumberFormat="1" applyFont="1" applyBorder="1"/>
    <xf numFmtId="10" fontId="255" fillId="0" borderId="190" xfId="7308" applyNumberFormat="1" applyFont="1" applyBorder="1" applyAlignment="1">
      <alignment horizontal="right" vertical="center"/>
    </xf>
    <xf numFmtId="214" fontId="250" fillId="0" borderId="190" xfId="43165" applyNumberFormat="1" applyFont="1" applyBorder="1"/>
    <xf numFmtId="167" fontId="258" fillId="41" borderId="190" xfId="902" applyFont="1" applyFill="1" applyBorder="1" applyAlignment="1">
      <alignment horizontal="center"/>
    </xf>
    <xf numFmtId="0" fontId="250" fillId="0" borderId="190" xfId="7308" applyFont="1" applyBorder="1" applyAlignment="1">
      <alignment horizontal="right"/>
    </xf>
    <xf numFmtId="0" fontId="250" fillId="0" borderId="190" xfId="7308" applyFont="1" applyBorder="1" applyAlignment="1">
      <alignment horizontal="center"/>
    </xf>
    <xf numFmtId="10" fontId="257" fillId="0" borderId="190" xfId="7308" applyNumberFormat="1" applyFont="1" applyBorder="1" applyAlignment="1">
      <alignment horizontal="center"/>
    </xf>
    <xf numFmtId="167" fontId="261" fillId="0" borderId="190" xfId="7308" applyNumberFormat="1" applyFont="1" applyBorder="1" applyAlignment="1">
      <alignment vertical="center"/>
    </xf>
    <xf numFmtId="0" fontId="261" fillId="0" borderId="196" xfId="7308" applyFont="1" applyBorder="1" applyAlignment="1">
      <alignment vertical="center"/>
    </xf>
    <xf numFmtId="43" fontId="261" fillId="0" borderId="190" xfId="7308" applyNumberFormat="1" applyFont="1" applyBorder="1" applyAlignment="1">
      <alignment vertical="center"/>
    </xf>
    <xf numFmtId="43" fontId="261" fillId="0" borderId="191" xfId="7308" applyNumberFormat="1" applyFont="1" applyBorder="1" applyAlignment="1">
      <alignment vertical="center"/>
    </xf>
    <xf numFmtId="10" fontId="262" fillId="0" borderId="199" xfId="1095" applyNumberFormat="1" applyFont="1" applyFill="1" applyBorder="1" applyAlignment="1">
      <alignment vertical="center"/>
    </xf>
    <xf numFmtId="10" fontId="262" fillId="0" borderId="190" xfId="1095" applyNumberFormat="1" applyFont="1" applyFill="1" applyBorder="1" applyAlignment="1">
      <alignment vertical="center"/>
    </xf>
    <xf numFmtId="10" fontId="262" fillId="0" borderId="190" xfId="1095" applyNumberFormat="1" applyFont="1" applyBorder="1" applyAlignment="1">
      <alignment vertical="center"/>
    </xf>
    <xf numFmtId="10" fontId="261" fillId="0" borderId="190" xfId="7308" applyNumberFormat="1" applyFont="1" applyBorder="1" applyAlignment="1">
      <alignment vertical="center"/>
    </xf>
    <xf numFmtId="0" fontId="251" fillId="107" borderId="191" xfId="7308" applyFont="1" applyFill="1" applyBorder="1"/>
    <xf numFmtId="167" fontId="251" fillId="41" borderId="190" xfId="902" applyFont="1" applyFill="1" applyBorder="1"/>
    <xf numFmtId="0" fontId="250" fillId="0" borderId="207" xfId="7308" applyFont="1" applyBorder="1"/>
    <xf numFmtId="167" fontId="250" fillId="41" borderId="199" xfId="902" applyFont="1" applyFill="1" applyBorder="1"/>
    <xf numFmtId="0" fontId="254" fillId="0" borderId="190" xfId="7308" applyFont="1" applyBorder="1" applyAlignment="1">
      <alignment horizontal="center" vertical="center"/>
    </xf>
    <xf numFmtId="0" fontId="251" fillId="0" borderId="190" xfId="7308" applyFont="1" applyBorder="1" applyAlignment="1">
      <alignment horizontal="center"/>
    </xf>
    <xf numFmtId="0" fontId="254" fillId="0" borderId="190" xfId="7308" applyFont="1" applyBorder="1" applyAlignment="1">
      <alignment vertical="center"/>
    </xf>
    <xf numFmtId="2" fontId="255" fillId="0" borderId="190" xfId="7308" applyNumberFormat="1" applyFont="1" applyBorder="1" applyAlignment="1">
      <alignment horizontal="center" vertical="center"/>
    </xf>
    <xf numFmtId="0" fontId="256" fillId="42" borderId="190" xfId="7308" applyFont="1" applyFill="1" applyBorder="1" applyAlignment="1">
      <alignment horizontal="center" vertical="center"/>
    </xf>
    <xf numFmtId="10" fontId="255" fillId="42" borderId="190" xfId="7308" applyNumberFormat="1" applyFont="1" applyFill="1" applyBorder="1" applyAlignment="1">
      <alignment horizontal="center" vertical="center"/>
    </xf>
    <xf numFmtId="0" fontId="257" fillId="61" borderId="190" xfId="7308" applyFont="1" applyFill="1" applyBorder="1"/>
    <xf numFmtId="2" fontId="250" fillId="42" borderId="190" xfId="7308" applyNumberFormat="1" applyFont="1" applyFill="1" applyBorder="1" applyAlignment="1">
      <alignment horizontal="center"/>
    </xf>
    <xf numFmtId="2" fontId="255" fillId="42" borderId="190" xfId="7308" applyNumberFormat="1" applyFont="1" applyFill="1" applyBorder="1" applyAlignment="1">
      <alignment horizontal="center" vertical="center"/>
    </xf>
    <xf numFmtId="167" fontId="258" fillId="42" borderId="190" xfId="902" applyFont="1" applyFill="1" applyBorder="1"/>
    <xf numFmtId="0" fontId="250" fillId="46" borderId="190" xfId="7308" applyFont="1" applyFill="1" applyBorder="1"/>
    <xf numFmtId="265" fontId="250" fillId="0" borderId="190" xfId="7308" applyNumberFormat="1" applyFont="1" applyBorder="1"/>
    <xf numFmtId="2" fontId="250" fillId="0" borderId="190" xfId="7308" applyNumberFormat="1" applyFont="1" applyBorder="1"/>
    <xf numFmtId="10" fontId="250" fillId="0" borderId="190" xfId="7308" applyNumberFormat="1" applyFont="1" applyBorder="1"/>
    <xf numFmtId="173" fontId="250" fillId="0" borderId="190" xfId="7308" applyNumberFormat="1" applyFont="1" applyBorder="1"/>
    <xf numFmtId="167" fontId="251" fillId="102" borderId="190" xfId="902" applyFont="1" applyFill="1" applyBorder="1"/>
    <xf numFmtId="0" fontId="251" fillId="59" borderId="189" xfId="2697" applyFont="1" applyFill="1" applyBorder="1" applyAlignment="1">
      <alignment vertical="center"/>
    </xf>
    <xf numFmtId="4" fontId="251" fillId="59" borderId="189" xfId="2697" applyNumberFormat="1" applyFont="1" applyFill="1" applyBorder="1" applyAlignment="1">
      <alignment vertical="center"/>
    </xf>
    <xf numFmtId="167" fontId="250" fillId="102" borderId="199" xfId="902" applyFont="1" applyFill="1" applyBorder="1"/>
    <xf numFmtId="168" fontId="30" fillId="61" borderId="0" xfId="863" applyFont="1" applyFill="1" applyAlignment="1">
      <alignment horizontal="center" vertical="distributed"/>
    </xf>
    <xf numFmtId="4" fontId="30" fillId="61" borderId="0" xfId="0" applyNumberFormat="1" applyFont="1" applyFill="1" applyAlignment="1">
      <alignment vertical="center"/>
    </xf>
    <xf numFmtId="168" fontId="0" fillId="61" borderId="0" xfId="863" applyFont="1" applyFill="1" applyAlignment="1">
      <alignment horizontal="center" vertical="distributed"/>
    </xf>
    <xf numFmtId="14" fontId="30" fillId="61" borderId="0" xfId="863" applyNumberFormat="1" applyFont="1" applyFill="1" applyAlignment="1">
      <alignment horizontal="center" vertical="distributed"/>
    </xf>
    <xf numFmtId="0" fontId="30" fillId="61" borderId="0" xfId="0" applyFont="1" applyFill="1" applyAlignment="1">
      <alignment horizontal="center" vertical="distributed"/>
    </xf>
    <xf numFmtId="3" fontId="30" fillId="61" borderId="0" xfId="0" applyNumberFormat="1" applyFont="1" applyFill="1" applyAlignment="1">
      <alignment horizontal="center" vertical="distributed"/>
    </xf>
    <xf numFmtId="257" fontId="30" fillId="61" borderId="0" xfId="0" applyNumberFormat="1" applyFont="1" applyFill="1" applyAlignment="1">
      <alignment horizontal="center" vertical="distributed"/>
    </xf>
    <xf numFmtId="3" fontId="0" fillId="61" borderId="0" xfId="0" applyNumberFormat="1" applyFill="1" applyAlignment="1">
      <alignment horizontal="center" vertical="distributed"/>
    </xf>
    <xf numFmtId="0" fontId="0" fillId="61" borderId="0" xfId="0" applyFill="1" applyAlignment="1">
      <alignment horizontal="center" vertical="distributed"/>
    </xf>
    <xf numFmtId="168" fontId="30" fillId="61" borderId="0" xfId="0" applyNumberFormat="1" applyFont="1" applyFill="1" applyAlignment="1">
      <alignment horizontal="center" vertical="distributed"/>
    </xf>
    <xf numFmtId="14" fontId="30" fillId="61" borderId="0" xfId="0" applyNumberFormat="1" applyFont="1" applyFill="1" applyAlignment="1">
      <alignment horizontal="center" vertical="distributed"/>
    </xf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05" fillId="129" borderId="0" xfId="863" applyFont="1" applyFill="1"/>
    <xf numFmtId="2" fontId="205" fillId="129" borderId="0" xfId="863" applyNumberFormat="1" applyFont="1" applyFill="1"/>
    <xf numFmtId="14" fontId="205" fillId="129" borderId="0" xfId="847" applyNumberFormat="1" applyFont="1" applyFill="1"/>
    <xf numFmtId="14" fontId="205" fillId="129" borderId="0" xfId="0" applyNumberFormat="1" applyFont="1" applyFill="1"/>
    <xf numFmtId="2" fontId="205" fillId="129" borderId="0" xfId="0" applyNumberFormat="1" applyFont="1" applyFill="1"/>
    <xf numFmtId="167" fontId="205" fillId="129" borderId="0" xfId="815" applyFont="1" applyFill="1"/>
    <xf numFmtId="2" fontId="205" fillId="129" borderId="0" xfId="847" applyNumberFormat="1" applyFont="1" applyFill="1"/>
    <xf numFmtId="0" fontId="205" fillId="0" borderId="0" xfId="0" applyFont="1" applyBorder="1"/>
    <xf numFmtId="168" fontId="205" fillId="61" borderId="0" xfId="863" applyFont="1" applyFill="1"/>
    <xf numFmtId="0" fontId="0" fillId="44" borderId="152" xfId="0" applyFill="1" applyBorder="1"/>
    <xf numFmtId="168" fontId="0" fillId="0" borderId="152" xfId="863" applyFont="1" applyBorder="1"/>
    <xf numFmtId="0" fontId="283" fillId="0" borderId="0" xfId="0" applyFont="1" applyFill="1" applyBorder="1"/>
    <xf numFmtId="0" fontId="205" fillId="0" borderId="0" xfId="0" applyFont="1" applyFill="1" applyBorder="1"/>
    <xf numFmtId="43" fontId="205" fillId="0" borderId="0" xfId="0" applyNumberFormat="1" applyFont="1" applyFill="1" applyBorder="1"/>
    <xf numFmtId="168" fontId="205" fillId="0" borderId="0" xfId="0" applyNumberFormat="1" applyFont="1" applyFill="1" applyBorder="1"/>
    <xf numFmtId="43" fontId="283" fillId="0" borderId="0" xfId="0" applyNumberFormat="1" applyFont="1" applyFill="1" applyBorder="1"/>
    <xf numFmtId="0" fontId="205" fillId="0" borderId="0" xfId="0" applyNumberFormat="1" applyFont="1" applyFill="1" applyBorder="1"/>
    <xf numFmtId="0" fontId="36" fillId="97" borderId="152" xfId="0" applyFont="1" applyFill="1" applyBorder="1" applyAlignment="1">
      <alignment vertical="center"/>
    </xf>
    <xf numFmtId="0" fontId="36" fillId="97" borderId="152" xfId="0" applyFont="1" applyFill="1" applyBorder="1" applyAlignment="1">
      <alignment horizontal="center" vertical="center" wrapText="1"/>
    </xf>
    <xf numFmtId="0" fontId="36" fillId="97" borderId="152" xfId="0" applyFont="1" applyFill="1" applyBorder="1" applyAlignment="1">
      <alignment horizontal="center" vertical="center"/>
    </xf>
    <xf numFmtId="168" fontId="283" fillId="42" borderId="0" xfId="863" applyFont="1" applyFill="1" applyBorder="1"/>
    <xf numFmtId="0" fontId="113" fillId="42" borderId="0" xfId="0" applyFont="1" applyFill="1"/>
    <xf numFmtId="167" fontId="205" fillId="41" borderId="166" xfId="815" applyFont="1" applyFill="1" applyBorder="1"/>
    <xf numFmtId="0" fontId="212" fillId="43" borderId="166" xfId="0" applyFont="1" applyFill="1" applyBorder="1" applyAlignment="1">
      <alignment horizontal="center" vertical="center" wrapText="1"/>
    </xf>
    <xf numFmtId="2" fontId="30" fillId="0" borderId="0" xfId="0" applyNumberFormat="1" applyFont="1"/>
    <xf numFmtId="17" fontId="205" fillId="0" borderId="0" xfId="0" applyNumberFormat="1" applyFont="1" applyAlignment="1">
      <alignment horizontal="right"/>
    </xf>
    <xf numFmtId="170" fontId="205" fillId="61" borderId="0" xfId="863" applyNumberFormat="1" applyFont="1" applyFill="1" applyBorder="1" applyAlignment="1">
      <alignment horizontal="right"/>
    </xf>
    <xf numFmtId="167" fontId="227" fillId="44" borderId="190" xfId="863" applyNumberFormat="1" applyFont="1" applyFill="1" applyBorder="1" applyAlignment="1">
      <alignment vertical="top"/>
    </xf>
    <xf numFmtId="167" fontId="227" fillId="0" borderId="190" xfId="863" applyNumberFormat="1" applyFont="1" applyFill="1" applyBorder="1" applyAlignment="1">
      <alignment vertical="top"/>
    </xf>
    <xf numFmtId="0" fontId="283" fillId="61" borderId="0" xfId="0" applyFont="1" applyFill="1"/>
    <xf numFmtId="167" fontId="283" fillId="61" borderId="0" xfId="815" applyFont="1" applyFill="1" applyBorder="1"/>
    <xf numFmtId="167" fontId="205" fillId="0" borderId="0" xfId="815" applyNumberFormat="1" applyFont="1" applyBorder="1"/>
    <xf numFmtId="167" fontId="205" fillId="0" borderId="0" xfId="815" applyNumberFormat="1" applyFont="1" applyBorder="1" applyAlignment="1">
      <alignment horizontal="left"/>
    </xf>
    <xf numFmtId="0" fontId="318" fillId="0" borderId="0" xfId="0" applyFont="1"/>
    <xf numFmtId="0" fontId="205" fillId="0" borderId="0" xfId="0" pivotButton="1" applyFont="1"/>
    <xf numFmtId="205" fontId="205" fillId="0" borderId="0" xfId="0" applyNumberFormat="1" applyFont="1" applyAlignment="1">
      <alignment horizontal="left"/>
    </xf>
    <xf numFmtId="0" fontId="218" fillId="0" borderId="0" xfId="907" applyFont="1" applyAlignment="1">
      <alignment horizontal="left"/>
    </xf>
    <xf numFmtId="9" fontId="43" fillId="0" borderId="0" xfId="847" applyNumberFormat="1" applyFont="1" applyFill="1"/>
    <xf numFmtId="10" fontId="43" fillId="0" borderId="0" xfId="907" applyNumberFormat="1" applyFont="1" applyFill="1"/>
    <xf numFmtId="0" fontId="208" fillId="44" borderId="146" xfId="0" applyFont="1" applyFill="1" applyBorder="1" applyAlignment="1">
      <alignment horizontal="center" vertical="center" textRotation="90"/>
    </xf>
    <xf numFmtId="0" fontId="208" fillId="44" borderId="10" xfId="0" applyFont="1" applyFill="1" applyBorder="1" applyAlignment="1">
      <alignment horizontal="center" vertical="center" textRotation="90"/>
    </xf>
    <xf numFmtId="0" fontId="208" fillId="44" borderId="154" xfId="0" applyFont="1" applyFill="1" applyBorder="1" applyAlignment="1">
      <alignment horizontal="center" vertical="center" textRotation="90"/>
    </xf>
    <xf numFmtId="167" fontId="30" fillId="42" borderId="144" xfId="815" applyFont="1" applyFill="1" applyBorder="1" applyAlignment="1">
      <alignment horizontal="center"/>
    </xf>
    <xf numFmtId="0" fontId="272" fillId="43" borderId="168" xfId="0" applyFont="1" applyFill="1" applyBorder="1" applyAlignment="1">
      <alignment horizontal="center" vertical="center" wrapText="1"/>
    </xf>
    <xf numFmtId="0" fontId="272" fillId="43" borderId="160" xfId="0" applyFont="1" applyFill="1" applyBorder="1" applyAlignment="1">
      <alignment horizontal="center" vertical="center" wrapText="1"/>
    </xf>
    <xf numFmtId="167" fontId="30" fillId="59" borderId="170" xfId="815" applyFont="1" applyFill="1" applyBorder="1" applyAlignment="1">
      <alignment horizontal="center" vertical="center"/>
    </xf>
    <xf numFmtId="167" fontId="30" fillId="59" borderId="175" xfId="815" applyFont="1" applyFill="1" applyBorder="1" applyAlignment="1">
      <alignment horizontal="center" vertical="center"/>
    </xf>
    <xf numFmtId="0" fontId="272" fillId="0" borderId="144" xfId="0" applyFont="1" applyBorder="1" applyAlignment="1">
      <alignment horizontal="center" vertical="center" wrapText="1"/>
    </xf>
    <xf numFmtId="167" fontId="30" fillId="59" borderId="172" xfId="815" applyFont="1" applyFill="1" applyBorder="1" applyAlignment="1">
      <alignment horizontal="center" vertical="center"/>
    </xf>
    <xf numFmtId="167" fontId="30" fillId="59" borderId="177" xfId="815" applyFont="1" applyFill="1" applyBorder="1" applyAlignment="1">
      <alignment horizontal="center" vertical="center"/>
    </xf>
    <xf numFmtId="168" fontId="116" fillId="103" borderId="144" xfId="863" applyFont="1" applyFill="1" applyBorder="1" applyAlignment="1">
      <alignment horizontal="center" vertical="top" wrapText="1"/>
    </xf>
    <xf numFmtId="0" fontId="30" fillId="0" borderId="20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79" fillId="96" borderId="20" xfId="0" applyFont="1" applyFill="1" applyBorder="1" applyAlignment="1">
      <alignment horizontal="center" vertical="center"/>
    </xf>
    <xf numFmtId="0" fontId="279" fillId="96" borderId="0" xfId="0" applyFont="1" applyFill="1" applyAlignment="1">
      <alignment horizontal="center" vertical="center"/>
    </xf>
    <xf numFmtId="0" fontId="36" fillId="0" borderId="178" xfId="0" applyFont="1" applyBorder="1" applyAlignment="1">
      <alignment horizontal="left"/>
    </xf>
    <xf numFmtId="0" fontId="30" fillId="59" borderId="178" xfId="907" applyFill="1" applyBorder="1" applyAlignment="1">
      <alignment horizontal="left"/>
    </xf>
    <xf numFmtId="167" fontId="30" fillId="59" borderId="167" xfId="815" applyFont="1" applyFill="1" applyBorder="1" applyAlignment="1">
      <alignment horizontal="center" vertical="center"/>
    </xf>
    <xf numFmtId="167" fontId="30" fillId="59" borderId="176" xfId="815" applyFont="1" applyFill="1" applyBorder="1" applyAlignment="1">
      <alignment horizontal="center" vertical="center"/>
    </xf>
    <xf numFmtId="0" fontId="30" fillId="59" borderId="166" xfId="907" applyFill="1" applyBorder="1" applyAlignment="1">
      <alignment horizontal="left"/>
    </xf>
    <xf numFmtId="0" fontId="30" fillId="59" borderId="0" xfId="907" applyFill="1" applyAlignment="1">
      <alignment horizontal="left"/>
    </xf>
    <xf numFmtId="167" fontId="30" fillId="44" borderId="167" xfId="815" applyFont="1" applyFill="1" applyBorder="1" applyAlignment="1">
      <alignment horizontal="center" vertical="center"/>
    </xf>
    <xf numFmtId="167" fontId="30" fillId="44" borderId="176" xfId="815" applyFont="1" applyFill="1" applyBorder="1" applyAlignment="1">
      <alignment horizontal="center" vertical="center"/>
    </xf>
    <xf numFmtId="167" fontId="30" fillId="44" borderId="170" xfId="815" applyFont="1" applyFill="1" applyBorder="1" applyAlignment="1">
      <alignment horizontal="center" vertical="center"/>
    </xf>
    <xf numFmtId="167" fontId="30" fillId="44" borderId="175" xfId="815" applyFont="1" applyFill="1" applyBorder="1" applyAlignment="1">
      <alignment horizontal="center" vertical="center"/>
    </xf>
    <xf numFmtId="167" fontId="30" fillId="44" borderId="172" xfId="815" applyFont="1" applyFill="1" applyBorder="1" applyAlignment="1">
      <alignment horizontal="center" vertical="center"/>
    </xf>
    <xf numFmtId="167" fontId="30" fillId="44" borderId="177" xfId="815" applyFont="1" applyFill="1" applyBorder="1" applyAlignment="1">
      <alignment horizontal="center" vertical="center"/>
    </xf>
    <xf numFmtId="0" fontId="235" fillId="0" borderId="166" xfId="907" applyFont="1" applyBorder="1" applyAlignment="1">
      <alignment horizontal="left"/>
    </xf>
    <xf numFmtId="0" fontId="36" fillId="0" borderId="166" xfId="907" applyFont="1" applyBorder="1" applyAlignment="1">
      <alignment horizontal="left"/>
    </xf>
    <xf numFmtId="9" fontId="38" fillId="38" borderId="0" xfId="1823" applyFont="1" applyFill="1" applyBorder="1" applyAlignment="1">
      <alignment horizontal="center" vertical="center" wrapText="1"/>
    </xf>
    <xf numFmtId="167" fontId="110" fillId="41" borderId="0" xfId="907" applyNumberFormat="1" applyFont="1" applyFill="1" applyAlignment="1">
      <alignment horizontal="center"/>
    </xf>
    <xf numFmtId="0" fontId="143" fillId="41" borderId="0" xfId="907" applyFont="1" applyFill="1" applyAlignment="1">
      <alignment horizontal="center"/>
    </xf>
    <xf numFmtId="9" fontId="317" fillId="55" borderId="144" xfId="1823" applyFont="1" applyFill="1" applyBorder="1" applyAlignment="1">
      <alignment horizontal="left" vertical="center"/>
    </xf>
    <xf numFmtId="0" fontId="117" fillId="55" borderId="144" xfId="954" applyFont="1" applyFill="1" applyBorder="1" applyAlignment="1">
      <alignment horizontal="center" vertical="center"/>
    </xf>
    <xf numFmtId="9" fontId="38" fillId="0" borderId="0" xfId="1823" applyFont="1" applyFill="1" applyBorder="1" applyAlignment="1">
      <alignment horizontal="center" vertical="center" wrapText="1"/>
    </xf>
    <xf numFmtId="0" fontId="110" fillId="41" borderId="0" xfId="2697" applyFont="1" applyFill="1" applyAlignment="1">
      <alignment horizontal="center" vertical="center"/>
    </xf>
    <xf numFmtId="0" fontId="43" fillId="41" borderId="0" xfId="907" applyFont="1" applyFill="1" applyAlignment="1">
      <alignment horizontal="left" indent="1"/>
    </xf>
    <xf numFmtId="0" fontId="117" fillId="41" borderId="0" xfId="907" applyFont="1" applyFill="1" applyAlignment="1">
      <alignment horizontal="left"/>
    </xf>
    <xf numFmtId="9" fontId="38" fillId="0" borderId="0" xfId="1823" applyFont="1" applyFill="1" applyBorder="1" applyAlignment="1">
      <alignment horizontal="left" vertical="center" wrapText="1"/>
    </xf>
    <xf numFmtId="9" fontId="43" fillId="0" borderId="0" xfId="1823" applyFont="1" applyFill="1" applyBorder="1" applyAlignment="1">
      <alignment horizontal="left" vertical="center" wrapText="1"/>
    </xf>
    <xf numFmtId="0" fontId="296" fillId="0" borderId="0" xfId="0" applyFont="1" applyAlignment="1">
      <alignment horizontal="center"/>
    </xf>
    <xf numFmtId="0" fontId="296" fillId="0" borderId="194" xfId="0" applyFont="1" applyBorder="1" applyAlignment="1">
      <alignment horizontal="center"/>
    </xf>
    <xf numFmtId="0" fontId="36" fillId="0" borderId="190" xfId="907" applyFont="1" applyBorder="1" applyAlignment="1">
      <alignment horizontal="center"/>
    </xf>
    <xf numFmtId="0" fontId="36" fillId="0" borderId="192" xfId="907" applyFont="1" applyBorder="1" applyAlignment="1">
      <alignment horizontal="center"/>
    </xf>
    <xf numFmtId="0" fontId="36" fillId="0" borderId="194" xfId="907" applyFont="1" applyBorder="1" applyAlignment="1">
      <alignment horizontal="center"/>
    </xf>
    <xf numFmtId="0" fontId="205" fillId="33" borderId="191" xfId="831" applyFont="1" applyFill="1" applyBorder="1" applyAlignment="1">
      <alignment horizontal="center" vertical="center"/>
    </xf>
    <xf numFmtId="0" fontId="205" fillId="33" borderId="195" xfId="831" applyFont="1" applyFill="1" applyBorder="1" applyAlignment="1">
      <alignment horizontal="center" vertical="center"/>
    </xf>
    <xf numFmtId="17" fontId="38" fillId="55" borderId="126" xfId="905" applyNumberFormat="1" applyFont="1" applyFill="1" applyBorder="1" applyAlignment="1">
      <alignment horizontal="center" vertical="center" wrapText="1"/>
    </xf>
    <xf numFmtId="254" fontId="38" fillId="55" borderId="198" xfId="863" applyNumberFormat="1" applyFont="1" applyFill="1" applyBorder="1" applyAlignment="1">
      <alignment horizontal="center" vertical="center" wrapText="1"/>
    </xf>
    <xf numFmtId="17" fontId="38" fillId="55" borderId="127" xfId="905" applyNumberFormat="1" applyFont="1" applyFill="1" applyBorder="1" applyAlignment="1">
      <alignment horizontal="center" vertical="center" wrapText="1"/>
    </xf>
    <xf numFmtId="170" fontId="38" fillId="55" borderId="128" xfId="863" applyNumberFormat="1" applyFont="1" applyFill="1" applyBorder="1" applyAlignment="1">
      <alignment horizontal="center" vertical="center"/>
    </xf>
    <xf numFmtId="170" fontId="38" fillId="55" borderId="129" xfId="863" applyNumberFormat="1" applyFont="1" applyFill="1" applyBorder="1" applyAlignment="1">
      <alignment horizontal="center" vertical="center"/>
    </xf>
    <xf numFmtId="0" fontId="38" fillId="55" borderId="130" xfId="905" applyFont="1" applyFill="1" applyBorder="1" applyAlignment="1">
      <alignment horizontal="center" vertical="center"/>
    </xf>
    <xf numFmtId="0" fontId="38" fillId="55" borderId="0" xfId="905" applyFont="1" applyFill="1" applyAlignment="1">
      <alignment horizontal="center" vertical="center"/>
    </xf>
    <xf numFmtId="0" fontId="117" fillId="55" borderId="131" xfId="2697" applyFont="1" applyFill="1" applyBorder="1" applyAlignment="1">
      <alignment horizontal="center" vertical="center"/>
    </xf>
    <xf numFmtId="0" fontId="117" fillId="55" borderId="0" xfId="2697" applyFont="1" applyFill="1" applyAlignment="1">
      <alignment horizontal="center" vertical="center"/>
    </xf>
    <xf numFmtId="0" fontId="117" fillId="55" borderId="136" xfId="2697" applyFont="1" applyFill="1" applyBorder="1" applyAlignment="1">
      <alignment horizontal="center" vertical="center"/>
    </xf>
    <xf numFmtId="0" fontId="117" fillId="55" borderId="125" xfId="2697" applyFont="1" applyFill="1" applyBorder="1" applyAlignment="1">
      <alignment horizontal="center" vertical="center"/>
    </xf>
    <xf numFmtId="170" fontId="117" fillId="55" borderId="132" xfId="863" applyNumberFormat="1" applyFont="1" applyFill="1" applyBorder="1" applyAlignment="1">
      <alignment horizontal="center" vertical="center" wrapText="1"/>
    </xf>
    <xf numFmtId="170" fontId="117" fillId="55" borderId="133" xfId="863" applyNumberFormat="1" applyFont="1" applyFill="1" applyBorder="1" applyAlignment="1">
      <alignment horizontal="center" vertical="center" wrapText="1"/>
    </xf>
    <xf numFmtId="170" fontId="117" fillId="55" borderId="134" xfId="863" applyNumberFormat="1" applyFont="1" applyFill="1" applyBorder="1" applyAlignment="1">
      <alignment horizontal="center" vertical="center" wrapText="1"/>
    </xf>
    <xf numFmtId="0" fontId="117" fillId="55" borderId="135" xfId="2697" applyFont="1" applyFill="1" applyBorder="1" applyAlignment="1">
      <alignment horizontal="center" vertical="center" wrapText="1"/>
    </xf>
    <xf numFmtId="0" fontId="117" fillId="55" borderId="133" xfId="2697" applyFont="1" applyFill="1" applyBorder="1" applyAlignment="1">
      <alignment horizontal="center" vertical="center" wrapText="1"/>
    </xf>
    <xf numFmtId="0" fontId="117" fillId="55" borderId="134" xfId="2697" applyFont="1" applyFill="1" applyBorder="1" applyAlignment="1">
      <alignment horizontal="center" vertical="center" wrapText="1"/>
    </xf>
    <xf numFmtId="0" fontId="208" fillId="97" borderId="189" xfId="0" applyFont="1" applyFill="1" applyBorder="1" applyAlignment="1">
      <alignment horizontal="center" vertical="center" wrapText="1"/>
    </xf>
    <xf numFmtId="0" fontId="212" fillId="43" borderId="189" xfId="0" applyFont="1" applyFill="1" applyBorder="1" applyAlignment="1">
      <alignment horizontal="center" vertical="center" wrapText="1"/>
    </xf>
    <xf numFmtId="0" fontId="272" fillId="101" borderId="190" xfId="2697" applyFont="1" applyFill="1" applyBorder="1" applyAlignment="1">
      <alignment horizontal="center"/>
    </xf>
    <xf numFmtId="0" fontId="117" fillId="55" borderId="126" xfId="2697" applyFont="1" applyFill="1" applyBorder="1" applyAlignment="1">
      <alignment horizontal="left" vertical="center" wrapText="1"/>
    </xf>
    <xf numFmtId="0" fontId="117" fillId="55" borderId="165" xfId="2697" applyFont="1" applyFill="1" applyBorder="1" applyAlignment="1">
      <alignment horizontal="left" vertical="center" wrapText="1"/>
    </xf>
    <xf numFmtId="0" fontId="117" fillId="55" borderId="131" xfId="2697" applyFont="1" applyFill="1" applyBorder="1" applyAlignment="1">
      <alignment horizontal="left" vertical="center" wrapText="1"/>
    </xf>
    <xf numFmtId="0" fontId="208" fillId="41" borderId="192" xfId="832" applyFont="1" applyFill="1" applyBorder="1" applyAlignment="1">
      <alignment horizontal="center" vertical="center" wrapText="1"/>
    </xf>
    <xf numFmtId="0" fontId="208" fillId="41" borderId="193" xfId="0" applyFont="1" applyFill="1" applyBorder="1" applyAlignment="1">
      <alignment horizontal="center" vertical="center" wrapText="1"/>
    </xf>
    <xf numFmtId="0" fontId="208" fillId="0" borderId="192" xfId="0" applyFont="1" applyBorder="1" applyAlignment="1">
      <alignment horizontal="center" vertical="center"/>
    </xf>
    <xf numFmtId="0" fontId="208" fillId="0" borderId="193" xfId="0" applyFont="1" applyBorder="1" applyAlignment="1">
      <alignment horizontal="center" vertical="center"/>
    </xf>
    <xf numFmtId="0" fontId="208" fillId="0" borderId="191" xfId="0" applyFont="1" applyBorder="1" applyAlignment="1">
      <alignment horizontal="center" vertical="center"/>
    </xf>
    <xf numFmtId="0" fontId="208" fillId="0" borderId="195" xfId="0" applyFont="1" applyBorder="1" applyAlignment="1">
      <alignment horizontal="center" vertical="center"/>
    </xf>
    <xf numFmtId="0" fontId="208" fillId="41" borderId="192" xfId="0" applyFont="1" applyFill="1" applyBorder="1" applyAlignment="1">
      <alignment horizontal="center" vertical="center"/>
    </xf>
    <xf numFmtId="0" fontId="208" fillId="41" borderId="193" xfId="0" applyFont="1" applyFill="1" applyBorder="1" applyAlignment="1">
      <alignment horizontal="center" vertical="center"/>
    </xf>
    <xf numFmtId="0" fontId="208" fillId="0" borderId="0" xfId="0" applyFont="1" applyAlignment="1">
      <alignment horizontal="center"/>
    </xf>
    <xf numFmtId="0" fontId="215" fillId="0" borderId="0" xfId="836" applyFont="1" applyFill="1" applyBorder="1" applyAlignment="1">
      <alignment horizontal="left" vertical="center" wrapText="1"/>
    </xf>
    <xf numFmtId="0" fontId="205" fillId="0" borderId="0" xfId="0" applyFont="1" applyAlignment="1">
      <alignment horizontal="left" vertical="center" wrapText="1"/>
    </xf>
    <xf numFmtId="0" fontId="207" fillId="0" borderId="189" xfId="833" applyFont="1" applyBorder="1" applyAlignment="1">
      <alignment horizontal="left" vertical="center" wrapText="1"/>
    </xf>
    <xf numFmtId="0" fontId="205" fillId="0" borderId="189" xfId="0" applyFont="1" applyBorder="1" applyAlignment="1">
      <alignment horizontal="left" vertical="center" wrapText="1"/>
    </xf>
    <xf numFmtId="0" fontId="208" fillId="0" borderId="191" xfId="0" applyFont="1" applyBorder="1" applyAlignment="1">
      <alignment horizontal="left" vertical="center"/>
    </xf>
    <xf numFmtId="0" fontId="208" fillId="0" borderId="195" xfId="0" applyFont="1" applyBorder="1" applyAlignment="1">
      <alignment horizontal="left" vertical="center"/>
    </xf>
    <xf numFmtId="0" fontId="215" fillId="0" borderId="178" xfId="836" applyFont="1" applyFill="1" applyBorder="1" applyAlignment="1">
      <alignment horizontal="left" vertical="center" wrapText="1"/>
    </xf>
    <xf numFmtId="0" fontId="205" fillId="0" borderId="178" xfId="0" applyFont="1" applyBorder="1" applyAlignment="1">
      <alignment horizontal="left" vertical="center" wrapText="1"/>
    </xf>
    <xf numFmtId="0" fontId="215" fillId="0" borderId="189" xfId="836" applyFont="1" applyFill="1" applyBorder="1" applyAlignment="1">
      <alignment horizontal="left" vertical="center" wrapText="1"/>
    </xf>
    <xf numFmtId="0" fontId="215" fillId="0" borderId="194" xfId="836" applyFont="1" applyFill="1" applyBorder="1" applyAlignment="1">
      <alignment horizontal="left" vertical="center" wrapText="1"/>
    </xf>
    <xf numFmtId="0" fontId="205" fillId="0" borderId="194" xfId="0" applyFont="1" applyBorder="1" applyAlignment="1">
      <alignment horizontal="left" vertical="center" wrapText="1"/>
    </xf>
    <xf numFmtId="0" fontId="208" fillId="0" borderId="192" xfId="0" applyFont="1" applyBorder="1" applyAlignment="1">
      <alignment horizontal="center" vertical="center" wrapText="1"/>
    </xf>
    <xf numFmtId="0" fontId="208" fillId="0" borderId="193" xfId="0" applyFont="1" applyBorder="1" applyAlignment="1">
      <alignment horizontal="center" vertical="center" wrapText="1"/>
    </xf>
    <xf numFmtId="0" fontId="208" fillId="105" borderId="191" xfId="0" applyFont="1" applyFill="1" applyBorder="1" applyAlignment="1">
      <alignment horizontal="center" vertical="center"/>
    </xf>
    <xf numFmtId="0" fontId="208" fillId="105" borderId="195" xfId="0" applyFont="1" applyFill="1" applyBorder="1" applyAlignment="1">
      <alignment horizontal="center" vertical="center"/>
    </xf>
    <xf numFmtId="10" fontId="250" fillId="0" borderId="191" xfId="7308" applyNumberFormat="1" applyFont="1" applyBorder="1" applyAlignment="1">
      <alignment horizontal="center"/>
    </xf>
    <xf numFmtId="0" fontId="250" fillId="0" borderId="189" xfId="7308" applyFont="1" applyBorder="1" applyAlignment="1">
      <alignment horizontal="center"/>
    </xf>
    <xf numFmtId="0" fontId="250" fillId="0" borderId="195" xfId="7308" applyFont="1" applyBorder="1" applyAlignment="1">
      <alignment horizontal="center"/>
    </xf>
    <xf numFmtId="214" fontId="250" fillId="0" borderId="191" xfId="43165" applyNumberFormat="1" applyFont="1" applyBorder="1" applyAlignment="1">
      <alignment horizontal="center"/>
    </xf>
    <xf numFmtId="214" fontId="250" fillId="0" borderId="189" xfId="43165" applyNumberFormat="1" applyFont="1" applyBorder="1" applyAlignment="1">
      <alignment horizontal="center"/>
    </xf>
    <xf numFmtId="214" fontId="250" fillId="0" borderId="195" xfId="43165" applyNumberFormat="1" applyFont="1" applyBorder="1" applyAlignment="1">
      <alignment horizontal="center"/>
    </xf>
    <xf numFmtId="214" fontId="250" fillId="0" borderId="191" xfId="7308" applyNumberFormat="1" applyFont="1" applyBorder="1" applyAlignment="1">
      <alignment horizontal="center"/>
    </xf>
    <xf numFmtId="214" fontId="250" fillId="0" borderId="189" xfId="7308" applyNumberFormat="1" applyFont="1" applyBorder="1" applyAlignment="1">
      <alignment horizontal="center"/>
    </xf>
    <xf numFmtId="214" fontId="250" fillId="0" borderId="195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4" xfId="43440" xr:uid="{B05E2718-8EF4-4370-9831-91D9479CAAAF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01" xfId="43441" xr:uid="{7D74905C-7048-4F87-AF3E-D98D3C2D8C56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25" xfId="43443" xr:uid="{4CE4E017-FB86-4697-8A0E-F89F4D16E405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2 4" xfId="43442" xr:uid="{7A7FACF7-A7AE-40F7-AB22-28C2180BEAA2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60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2" defaultTableStyle="TableStyleMedium9" defaultPivotStyle="PivotStyleLight16">
    <tableStyle name="Estilo de Tabela 1" pivot="0" count="1" xr9:uid="{00686FE8-9E00-463D-AA37-0EFDC342C09A}">
      <tableStyleElement type="headerRow" dxfId="559"/>
    </tableStyle>
    <tableStyle name="Padrão" pivot="0" count="1" xr9:uid="{3101F1C1-6DA4-4166-994B-3EC22CFD8317}">
      <tableStyleElement type="headerRow" dxfId="55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DDD"/>
      <color rgb="FFEE08CD"/>
      <color rgb="FFF9AD6F"/>
      <color rgb="FFFFCCCC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theme" Target="theme/theme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3" Type="http://schemas.openxmlformats.org/officeDocument/2006/relationships/sharedStrings" Target="sharedStrings.xml"/><Relationship Id="rId5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pivotCacheDefinition" Target="pivotCache/pivotCacheDefinition1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5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54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pivotCacheDefinition" Target="pivotCache/pivotCacheDefinition2.xml"/><Relationship Id="rId5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styles" Target="styles.xml"/><Relationship Id="rId60" Type="http://schemas.openxmlformats.org/officeDocument/2006/relationships/customXml" Target="../customXml/item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2.0069905511451051E-2</c:v>
                </c:pt>
                <c:pt idx="1">
                  <c:v>2.4717096257880447E-2</c:v>
                </c:pt>
                <c:pt idx="2">
                  <c:v>3.5947184215462807E-2</c:v>
                </c:pt>
                <c:pt idx="3">
                  <c:v>0.13187851870498213</c:v>
                </c:pt>
                <c:pt idx="4">
                  <c:v>-0.12870000000000001</c:v>
                </c:pt>
                <c:pt idx="5">
                  <c:v>0.13669999999999999</c:v>
                </c:pt>
                <c:pt idx="6">
                  <c:v>0.22057385430503129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0.51124959796323122</c:v>
                </c:pt>
                <c:pt idx="1">
                  <c:v>0.30612665739909156</c:v>
                </c:pt>
                <c:pt idx="2">
                  <c:v>0.13770725804081524</c:v>
                </c:pt>
                <c:pt idx="3">
                  <c:v>0</c:v>
                </c:pt>
                <c:pt idx="4">
                  <c:v>0</c:v>
                </c:pt>
                <c:pt idx="5">
                  <c:v>1.1715978006314021E-2</c:v>
                </c:pt>
                <c:pt idx="6">
                  <c:v>3.1079755555016565E-2</c:v>
                </c:pt>
                <c:pt idx="7">
                  <c:v>2.1207530355314085E-3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4231163.3273380054</c:v>
                </c:pt>
                <c:pt idx="1">
                  <c:v>5374442.8200000003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2906482.5731358528</c:v>
                </c:pt>
                <c:pt idx="1">
                  <c:v>3218115.4223371609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1233351.9575227718</c:v>
                </c:pt>
                <c:pt idx="1">
                  <c:v>1447629.078219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298188.78353336581</c:v>
                </c:pt>
                <c:pt idx="1">
                  <c:v>472178.54029000649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9.4138223208743751E-2"/>
                  <c:y val="-0.3025371429280982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0.50144650177038841</c:v>
                </c:pt>
                <c:pt idx="1">
                  <c:v>0.30025674751235054</c:v>
                </c:pt>
                <c:pt idx="2">
                  <c:v>0.13506675230270837</c:v>
                </c:pt>
                <c:pt idx="3">
                  <c:v>4.4055223056493904E-2</c:v>
                </c:pt>
                <c:pt idx="4">
                  <c:v>1.6220382505345032E-2</c:v>
                </c:pt>
                <c:pt idx="5" formatCode="0.00%">
                  <c:v>2.9543928527135457E-3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Cercos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744.47</c:v>
                </c:pt>
                <c:pt idx="1">
                  <c:v>782.78000000000009</c:v>
                </c:pt>
                <c:pt idx="2">
                  <c:v>753.85</c:v>
                </c:pt>
                <c:pt idx="3">
                  <c:v>761.28</c:v>
                </c:pt>
                <c:pt idx="4">
                  <c:v>914.6400000000001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Energisa SE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514.29999999999995</c:v>
                </c:pt>
                <c:pt idx="1">
                  <c:v>530.72</c:v>
                </c:pt>
                <c:pt idx="2">
                  <c:v>535.51</c:v>
                </c:pt>
                <c:pt idx="3">
                  <c:v>580.43681504518099</c:v>
                </c:pt>
                <c:pt idx="4">
                  <c:v>677.99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490.68312222339313</c:v>
                </c:pt>
                <c:pt idx="1">
                  <c:v>533.0900924007866</c:v>
                </c:pt>
                <c:pt idx="2">
                  <c:v>568.72586397559519</c:v>
                </c:pt>
                <c:pt idx="3">
                  <c:v>750.80415455093248</c:v>
                </c:pt>
                <c:pt idx="4">
                  <c:v>860.87852492572517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488.7236776056024</c:v>
                </c:pt>
                <c:pt idx="1">
                  <c:v>512.86909993446363</c:v>
                </c:pt>
                <c:pt idx="2">
                  <c:v>525.17426274569254</c:v>
                </c:pt>
                <c:pt idx="3">
                  <c:v>560.67238711267328</c:v>
                </c:pt>
                <c:pt idx="4">
                  <c:v>628.69108784548621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Cercos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363.71</c:v>
                </c:pt>
                <c:pt idx="1">
                  <c:v>396.87</c:v>
                </c:pt>
                <c:pt idx="2">
                  <c:v>454.81272598997919</c:v>
                </c:pt>
                <c:pt idx="3" formatCode="_(* #,##0.00_);_(* \(#,##0.00\);_(* &quot;-&quot;??_);_(@_)">
                  <c:v>546.46</c:v>
                </c:pt>
                <c:pt idx="4" formatCode="_(* #,##0.00_);_(* \(#,##0.00\);_(* &quot;-&quot;??_);_(@_)">
                  <c:v>681.93</c:v>
                </c:pt>
                <c:pt idx="5" formatCode="_(* #,##0.00_);_(* \(#,##0.00\);_(* &quot;-&quot;??_);_(@_)">
                  <c:v>744.47</c:v>
                </c:pt>
                <c:pt idx="6" formatCode="_(* #,##0.00_);_(* \(#,##0.00\);_(* &quot;-&quot;??_);_(@_)">
                  <c:v>782.78000000000009</c:v>
                </c:pt>
                <c:pt idx="7" formatCode="_(* #,##0.00_);_(* \(#,##0.00\);_(* &quot;-&quot;??_);_(@_)">
                  <c:v>753.85</c:v>
                </c:pt>
                <c:pt idx="8" formatCode="_(* #,##0.00_);_(* \(#,##0.00\);_(* &quot;-&quot;??_);_(@_)">
                  <c:v>761.28</c:v>
                </c:pt>
                <c:pt idx="9" formatCode="_(* #,##0.00_);_(* \(#,##0.00\);_(* &quot;-&quot;??_);_(@_)">
                  <c:v>914.6400000000001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Energisa SE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308.28999999999996</c:v>
                </c:pt>
                <c:pt idx="1">
                  <c:v>344.78999999999996</c:v>
                </c:pt>
                <c:pt idx="2">
                  <c:v>409.35</c:v>
                </c:pt>
                <c:pt idx="3">
                  <c:v>432.33</c:v>
                </c:pt>
                <c:pt idx="4">
                  <c:v>467.59000000000003</c:v>
                </c:pt>
                <c:pt idx="5">
                  <c:v>514.29999999999995</c:v>
                </c:pt>
                <c:pt idx="6">
                  <c:v>530.72</c:v>
                </c:pt>
                <c:pt idx="7">
                  <c:v>535.51</c:v>
                </c:pt>
                <c:pt idx="8">
                  <c:v>580.43681504518099</c:v>
                </c:pt>
                <c:pt idx="9">
                  <c:v>677.99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363.71</c:v>
                </c:pt>
                <c:pt idx="1">
                  <c:v>406.69584698297609</c:v>
                </c:pt>
                <c:pt idx="2">
                  <c:v>421.13507716368252</c:v>
                </c:pt>
                <c:pt idx="3">
                  <c:v>465.91021265545163</c:v>
                </c:pt>
                <c:pt idx="4">
                  <c:v>481.59857694796921</c:v>
                </c:pt>
                <c:pt idx="5">
                  <c:v>490.68312222339313</c:v>
                </c:pt>
                <c:pt idx="6">
                  <c:v>533.0900924007866</c:v>
                </c:pt>
                <c:pt idx="7">
                  <c:v>568.72586397559519</c:v>
                </c:pt>
                <c:pt idx="8">
                  <c:v>750.80415455093248</c:v>
                </c:pt>
                <c:pt idx="9">
                  <c:v>860.87852492572517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363.71</c:v>
                </c:pt>
                <c:pt idx="1">
                  <c:v>386.54935926252898</c:v>
                </c:pt>
                <c:pt idx="2">
                  <c:v>418.13618918274818</c:v>
                </c:pt>
                <c:pt idx="3">
                  <c:v>456.93000511831701</c:v>
                </c:pt>
                <c:pt idx="4">
                  <c:v>475.58424977387313</c:v>
                </c:pt>
                <c:pt idx="5">
                  <c:v>488.7236776056024</c:v>
                </c:pt>
                <c:pt idx="6">
                  <c:v>512.86909993446363</c:v>
                </c:pt>
                <c:pt idx="7">
                  <c:v>525.17426274569254</c:v>
                </c:pt>
                <c:pt idx="8">
                  <c:v>560.67238711267328</c:v>
                </c:pt>
                <c:pt idx="9">
                  <c:v>628.69108784548621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[Persas_RTA_2022_Cercos.xlsx]Calc_Mercado!Tabela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01/05/21</c:v>
                </c:pt>
                <c:pt idx="1">
                  <c:v>01/06/21</c:v>
                </c:pt>
                <c:pt idx="2">
                  <c:v>01/07/21</c:v>
                </c:pt>
                <c:pt idx="3">
                  <c:v>01/08/21</c:v>
                </c:pt>
                <c:pt idx="4">
                  <c:v>01/09/21</c:v>
                </c:pt>
                <c:pt idx="5">
                  <c:v>01/10/21</c:v>
                </c:pt>
                <c:pt idx="6">
                  <c:v>01/11/21</c:v>
                </c:pt>
                <c:pt idx="7">
                  <c:v>01/12/21</c:v>
                </c:pt>
                <c:pt idx="8">
                  <c:v>01/01/22</c:v>
                </c:pt>
                <c:pt idx="9">
                  <c:v>01/02/22</c:v>
                </c:pt>
                <c:pt idx="10">
                  <c:v>01/03/22</c:v>
                </c:pt>
                <c:pt idx="11">
                  <c:v>01/04/22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913.11200000000008</c:v>
                </c:pt>
                <c:pt idx="1">
                  <c:v>877.42</c:v>
                </c:pt>
                <c:pt idx="2">
                  <c:v>854.50400000000036</c:v>
                </c:pt>
                <c:pt idx="3">
                  <c:v>850.29</c:v>
                </c:pt>
                <c:pt idx="4">
                  <c:v>886.76499999999987</c:v>
                </c:pt>
                <c:pt idx="5">
                  <c:v>901.14100000000008</c:v>
                </c:pt>
                <c:pt idx="6">
                  <c:v>1037.635</c:v>
                </c:pt>
                <c:pt idx="7">
                  <c:v>990.6600000000002</c:v>
                </c:pt>
                <c:pt idx="8">
                  <c:v>962.83799999999997</c:v>
                </c:pt>
                <c:pt idx="9">
                  <c:v>941.47</c:v>
                </c:pt>
                <c:pt idx="10">
                  <c:v>1021.621</c:v>
                </c:pt>
                <c:pt idx="11">
                  <c:v>983.2270000000002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Lookups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AA-10(Op.63)"/>
      <sheetName val="Inventário PA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93.65856851852" createdVersion="4" refreshedVersion="7" minRefreshableVersion="3" recordCount="360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36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4-02T00:00:00" count="57"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18-05-01T00:00:00" u="1"/>
        <d v="2019-05-01T00:00:00" u="1"/>
        <d v="2020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123"/>
    </cacheField>
    <cacheField name="Daj" numFmtId="4">
      <sharedItems containsSemiMixedTypes="0" containsString="0" containsNumber="1" containsInteger="1" minValue="0" maxValue="123"/>
    </cacheField>
    <cacheField name="TUSD_E" numFmtId="4">
      <sharedItems containsSemiMixedTypes="0" containsString="0" containsNumber="1" minValue="0" maxValue="233.98599999999999"/>
    </cacheField>
    <cacheField name="TUSD_Eaj" numFmtId="4">
      <sharedItems containsSemiMixedTypes="0" containsString="0" containsNumber="1" minValue="0" maxValue="233.98599999999999"/>
    </cacheField>
    <cacheField name="TE_E" numFmtId="4">
      <sharedItems containsSemiMixedTypes="0" containsString="0" containsNumber="1" minValue="0" maxValue="233.98599999999999"/>
    </cacheField>
    <cacheField name="TE_Eaj" numFmtId="4">
      <sharedItems containsSemiMixedTypes="0" containsString="0" containsNumber="1" minValue="0" maxValue="233.98599999999999"/>
    </cacheField>
    <cacheField name="TUSD/KW" numFmtId="4">
      <sharedItems containsString="0" containsBlank="1" containsNumber="1" minValue="50.27" maxValue="50.27"/>
    </cacheField>
    <cacheField name="TUSD/MWh" numFmtId="4">
      <sharedItems containsString="0" containsBlank="1" containsNumber="1" minValue="47.66" maxValue="2773.91"/>
    </cacheField>
    <cacheField name="TE" numFmtId="4">
      <sharedItems containsString="0" containsBlank="1" containsNumber="1" minValue="133.86000000000001" maxValue="243.39"/>
    </cacheField>
    <cacheField name="ReceitaD" numFmtId="4">
      <sharedItems containsString="0" containsBlank="1" containsNumber="1" minValue="6032.4000000000005" maxValue="6183.21"/>
    </cacheField>
    <cacheField name="ReceitaE" numFmtId="4">
      <sharedItems containsString="0" containsBlank="1" containsNumber="1" minValue="1.2621800000000001" maxValue="196641.83439999999"/>
    </cacheField>
    <cacheField name="Total" numFmtId="4">
      <sharedItems containsString="0" containsBlank="1" containsNumber="1" minValue="1.2621800000000001" maxValue="196641.83439999999"/>
    </cacheField>
    <cacheField name="Total com Tar de aplicação" numFmtId="4">
      <sharedItems containsString="0" containsBlank="1" containsNumber="1" minValue="1.1119699999999999" maxValue="178128.8620799999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0" maxValue="5822.3853581717258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0" maxValue="27420.600705773257"/>
    </cacheField>
    <cacheField name="DISTRIBUICAO" numFmtId="4">
      <sharedItems containsString="0" containsBlank="1" containsNumber="1" minValue="0" maxValue="95943.274255160679"/>
    </cacheField>
    <cacheField name="EnergiaRevenda" numFmtId="4">
      <sharedItems containsString="0" containsBlank="1" containsNumber="1" minValue="0.24338724480125801" maxValue="56949.207862067153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0" maxValue="2377.0850258750861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0" maxValue="401.72387611690255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0" maxValue="7726.0607945161782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0" maxValue="128.11000000000001"/>
    </cacheField>
    <cacheField name="Cofins" numFmtId="4">
      <sharedItems containsSemiMixedTypes="0" containsString="0" containsNumber="1" minValue="0" maxValue="591.96"/>
    </cacheField>
    <cacheField name="ICMS" numFmtId="4">
      <sharedItems containsSemiMixedTypes="0" containsString="0" containsNumber="1" minValue="0" maxValue="5041.0200000000004"/>
    </cacheField>
    <cacheField name="UC" numFmtId="4">
      <sharedItems containsSemiMixedTypes="0" containsString="0" containsNumber="1" containsInteger="1" minValue="0" maxValue="2018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536.9808256000015" maxValue="3423.2020991999998"/>
    </cacheField>
    <cacheField name="Subs_Rural" numFmtId="4">
      <sharedItems containsString="0" containsBlank="1" containsNumber="1" minValue="5.2075199999999988" maxValue="21376.960959999997"/>
    </cacheField>
    <cacheField name="Subs_Irrigante" numFmtId="4">
      <sharedItems containsString="0" containsBlank="1" containsNumber="1" minValue="198.49734720000001" maxValue="4795.2780192"/>
    </cacheField>
    <cacheField name="Subs_BaixaRenda" numFmtId="4">
      <sharedItems containsString="0" containsBlank="1" containsNumber="1" minValue="1730.6479999999997" maxValue="36375.976800000004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0" maxValue="64675.268656583328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0" maxValue="177401.0784"/>
    </cacheField>
    <cacheField name="FinAj" numFmtId="4">
      <sharedItems containsSemiMixedTypes="0" containsString="0" containsNumber="1" minValue="-18436.523200000025" maxValue="285.9116499999981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20492.493879999995" maxValue="16.274610000000163"/>
    </cacheField>
    <cacheField name="FinPostTE" numFmtId="4">
      <sharedItems containsSemiMixedTypes="0" containsString="0" containsNumber="1" minValue="0" maxValue="1979.5215600000017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1.8984033781196508E-2" maxValue="3480.266351017344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0" maxValue="1028.015272922461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1.1149546989122017E-2" maxValue="2608.8379017966945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0" maxValue="353.93012456182169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42.461961934300234" maxValue="0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3.332956326182739" maxValue="0"/>
    </cacheField>
    <cacheField name="finCT_TFSEE" numFmtId="4">
      <sharedItems containsString="0" containsBlank="1" containsNumber="1" minValue="-23.662880398277593" maxValue="0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minValue="-431.05914960487269" maxValue="8.7283409345864964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3156.6615245067596" maxValue="3235.5780626194287"/>
    </cacheField>
    <cacheField name="DIST_E" numFmtId="4">
      <sharedItems containsString="0" containsBlank="1" containsNumber="1" minValue="0" maxValue="95943.274255160679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20492.493880000009" maxValue="16.274610000000166"/>
    </cacheField>
    <cacheField name="Fin_TE" numFmtId="4">
      <sharedItems containsString="0" containsBlank="1" containsNumber="1" minValue="8.4600000000000231E-3" maxValue="1979.521560000001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21992.454511685224" maxValue="0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54" maxValue="254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211.17099999999999"/>
    <n v="211.17099999999999"/>
    <n v="211.17099999999999"/>
    <n v="211.17099999999999"/>
    <m/>
    <n v="597.01"/>
    <n v="243.39"/>
    <m/>
    <n v="177468.1084"/>
    <n v="177468.1084"/>
    <n v="160760.25887999998"/>
    <n v="0"/>
    <n v="5254.6688198032425"/>
    <n v="0"/>
    <n v="0"/>
    <n v="0"/>
    <n v="24746.932173885809"/>
    <n v="86588.245312696206"/>
    <n v="51396.327871926449"/>
    <n v="0"/>
    <n v="0"/>
    <n v="0"/>
    <n v="0"/>
    <n v="0"/>
    <n v="2145.3053686932885"/>
    <m/>
    <n v="362.55345466601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72.7247956663041"/>
    <n v="0"/>
    <n v="43.05"/>
    <n v="198.83"/>
    <n v="1505.57"/>
    <n v="1979"/>
    <m/>
    <m/>
    <m/>
    <m/>
    <m/>
    <m/>
    <m/>
    <m/>
    <m/>
    <n v="58369.052667592754"/>
    <m/>
    <m/>
    <m/>
    <m/>
    <m/>
    <m/>
    <m/>
    <m/>
    <m/>
    <m/>
    <m/>
    <m/>
    <n v="160759.4976"/>
    <n v="-16708.640799999994"/>
    <m/>
    <m/>
    <m/>
    <m/>
    <n v="-18494.356179999995"/>
    <n v="1786.5066600000016"/>
    <n v="31"/>
    <n v="3140.920079024756"/>
    <n v="0"/>
    <n v="0"/>
    <n v="0"/>
    <n v="0"/>
    <n v="0"/>
    <n v="0"/>
    <n v="0"/>
    <n v="927.77778669795953"/>
    <n v="0"/>
    <n v="0"/>
    <n v="2354.4609872398796"/>
    <n v="0"/>
    <n v="0"/>
    <n v="0"/>
    <n v="319.41987270112077"/>
    <n v="0"/>
    <n v="-38.321672936108371"/>
    <m/>
    <n v="0"/>
    <n v="0"/>
    <n v="0"/>
    <n v="0"/>
    <n v="-12.032915304147991"/>
    <n v="-21.355611517717648"/>
    <n v="0"/>
    <n v="-389.02836785624174"/>
    <m/>
    <m/>
    <m/>
    <n v="86588.245312696206"/>
    <n v="0"/>
    <n v="0"/>
    <n v="-18494.356180000002"/>
    <n v="1786.5066600000064"/>
    <n v="0"/>
    <n v="0"/>
    <n v="-19848.061899802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1.385"/>
    <n v="1.385"/>
    <n v="1.385"/>
    <n v="1.385"/>
    <m/>
    <n v="597.01"/>
    <n v="243.39"/>
    <m/>
    <n v="1163.954"/>
    <n v="1163.954"/>
    <n v="1054.3728000000001"/>
    <n v="0"/>
    <n v="34.463616289298677"/>
    <n v="0"/>
    <n v="0"/>
    <n v="0"/>
    <n v="162.30685586956469"/>
    <n v="567.90335679655004"/>
    <n v="337.09133404974233"/>
    <n v="0"/>
    <n v="0"/>
    <n v="0"/>
    <n v="0"/>
    <n v="0"/>
    <n v="14.070340793197005"/>
    <m/>
    <n v="2.3778669169177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731771133336643"/>
    <n v="0"/>
    <n v="0"/>
    <n v="0"/>
    <n v="0"/>
    <n v="6"/>
    <m/>
    <m/>
    <m/>
    <m/>
    <m/>
    <m/>
    <m/>
    <m/>
    <m/>
    <n v="382.82310518307895"/>
    <m/>
    <m/>
    <m/>
    <m/>
    <m/>
    <m/>
    <m/>
    <m/>
    <m/>
    <m/>
    <m/>
    <m/>
    <n v="1058.1791999999998"/>
    <n v="-105.80480000000011"/>
    <m/>
    <m/>
    <m/>
    <m/>
    <n v="-121.29829999999998"/>
    <n v="11.717100000000011"/>
    <n v="31"/>
    <n v="20.600244870030679"/>
    <n v="0"/>
    <n v="0"/>
    <n v="0"/>
    <n v="0"/>
    <n v="0"/>
    <n v="0"/>
    <n v="0"/>
    <n v="6.0849843708495825"/>
    <n v="0"/>
    <n v="0"/>
    <n v="15.442122579933937"/>
    <n v="0"/>
    <n v="0"/>
    <n v="0"/>
    <n v="2.0949681712500876"/>
    <n v="0"/>
    <n v="-0.25133904284447084"/>
    <m/>
    <n v="0"/>
    <n v="0"/>
    <n v="0"/>
    <n v="0"/>
    <n v="-7.8919869187743075E-2"/>
    <n v="-0.14006431731648217"/>
    <n v="0"/>
    <n v="-2.5515070226541279"/>
    <m/>
    <m/>
    <m/>
    <n v="567.90335679655004"/>
    <n v="0"/>
    <n v="0"/>
    <n v="-121.29829999999993"/>
    <n v="11.717100000000016"/>
    <n v="0"/>
    <n v="0"/>
    <n v="-130.17680330739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59.46"/>
    <n v="59.46"/>
    <n v="59.46"/>
    <n v="59.46"/>
    <m/>
    <n v="561.96"/>
    <n v="243.39"/>
    <m/>
    <n v="47886.111000000004"/>
    <n v="47886.111000000004"/>
    <n v="43192.933199999999"/>
    <n v="0"/>
    <n v="0"/>
    <n v="0"/>
    <n v="0"/>
    <n v="0"/>
    <n v="6968.0618411583509"/>
    <n v="24380.890682399178"/>
    <n v="14471.8055758828"/>
    <n v="0"/>
    <n v="0"/>
    <n v="0"/>
    <n v="0"/>
    <n v="0"/>
    <n v="0"/>
    <m/>
    <n v="102.08517464254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3.3293224463514"/>
    <n v="0"/>
    <n v="0"/>
    <n v="0"/>
    <n v="0"/>
    <n v="128"/>
    <m/>
    <m/>
    <m/>
    <m/>
    <m/>
    <m/>
    <m/>
    <n v="28075.228200000001"/>
    <m/>
    <n v="16435.13489832915"/>
    <m/>
    <m/>
    <m/>
    <m/>
    <m/>
    <m/>
    <m/>
    <m/>
    <m/>
    <m/>
    <m/>
    <m/>
    <n v="15117.705000000002"/>
    <n v="-1642.9097999999976"/>
    <m/>
    <m/>
    <m/>
    <m/>
    <n v="-5196.2094000000025"/>
    <n v="503.03160000000048"/>
    <n v="31"/>
    <n v="895.63443513299717"/>
    <n v="0"/>
    <n v="0"/>
    <n v="0"/>
    <n v="0"/>
    <n v="0"/>
    <n v="0"/>
    <n v="0"/>
    <n v="261.23694634708681"/>
    <n v="0"/>
    <n v="0"/>
    <n v="662.95206397319453"/>
    <n v="0"/>
    <n v="0"/>
    <n v="0"/>
    <n v="89.939933185942209"/>
    <n v="0"/>
    <n v="0"/>
    <m/>
    <n v="0"/>
    <n v="0"/>
    <n v="0"/>
    <n v="0"/>
    <n v="0"/>
    <n v="-6.013158344865019"/>
    <n v="0"/>
    <n v="-112.48135002836351"/>
    <m/>
    <m/>
    <m/>
    <n v="24380.890682399178"/>
    <n v="0"/>
    <n v="0"/>
    <n v="-5196.2094000000034"/>
    <n v="503.03160000000025"/>
    <n v="0"/>
    <n v="0"/>
    <n v="-5588.6734474062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94.608000000000004"/>
    <n v="94.608000000000004"/>
    <n v="94.608000000000004"/>
    <n v="94.608000000000004"/>
    <m/>
    <n v="561.96"/>
    <n v="243.39"/>
    <m/>
    <n v="76192.552800000005"/>
    <n v="76192.552800000005"/>
    <n v="68725.143360000002"/>
    <n v="0"/>
    <n v="0"/>
    <n v="0"/>
    <n v="0"/>
    <n v="0"/>
    <n v="11087.023119211392"/>
    <n v="38792.924750763901"/>
    <n v="23026.380456157418"/>
    <n v="0"/>
    <n v="0"/>
    <n v="0"/>
    <n v="0"/>
    <n v="0"/>
    <n v="0"/>
    <m/>
    <n v="162.42977131823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3.8927100236197"/>
    <n v="0"/>
    <n v="0"/>
    <n v="0"/>
    <n v="0"/>
    <n v="1169"/>
    <m/>
    <m/>
    <m/>
    <m/>
    <m/>
    <m/>
    <m/>
    <n v="27490.24656"/>
    <m/>
    <n v="26150.273166181039"/>
    <m/>
    <m/>
    <m/>
    <m/>
    <m/>
    <m/>
    <m/>
    <m/>
    <m/>
    <m/>
    <m/>
    <m/>
    <n v="41235.768500000006"/>
    <n v="-4479.7931800000006"/>
    <m/>
    <m/>
    <m/>
    <m/>
    <n v="-8267.7931200000039"/>
    <n v="800.38368000000082"/>
    <n v="31"/>
    <n v="1425.0619347302709"/>
    <n v="0"/>
    <n v="0"/>
    <n v="0"/>
    <n v="0"/>
    <n v="0"/>
    <n v="0"/>
    <n v="0"/>
    <n v="415.65935116053151"/>
    <n v="0"/>
    <n v="0"/>
    <n v="1054.8363415468521"/>
    <n v="0"/>
    <n v="0"/>
    <n v="0"/>
    <n v="143.10523375135608"/>
    <n v="0"/>
    <n v="0"/>
    <m/>
    <n v="0"/>
    <n v="0"/>
    <n v="0"/>
    <n v="0"/>
    <n v="0"/>
    <n v="-9.5676569911030924"/>
    <n v="0"/>
    <n v="-178.97133473735983"/>
    <m/>
    <m/>
    <m/>
    <n v="38792.924750763901"/>
    <n v="0"/>
    <n v="0"/>
    <n v="-8267.7931200000021"/>
    <n v="800.383679999999"/>
    <n v="0"/>
    <n v="0"/>
    <n v="-8892.2505467913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31.216000000000001"/>
    <n v="31.216000000000001"/>
    <n v="31.216000000000001"/>
    <n v="31.216000000000001"/>
    <m/>
    <n v="561.96"/>
    <n v="243.39"/>
    <m/>
    <n v="25139.8056"/>
    <n v="25139.8056"/>
    <n v="22675.926719999999"/>
    <n v="0"/>
    <n v="0"/>
    <n v="0"/>
    <n v="0"/>
    <n v="0"/>
    <n v="3658.1738720753297"/>
    <n v="12799.762588997188"/>
    <n v="7597.5762337160695"/>
    <n v="0"/>
    <n v="0"/>
    <n v="0"/>
    <n v="0"/>
    <n v="0"/>
    <n v="0"/>
    <m/>
    <n v="53.5938582516271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0.7313846196655"/>
    <n v="0"/>
    <n v="0"/>
    <n v="0"/>
    <n v="0"/>
    <n v="630"/>
    <m/>
    <m/>
    <m/>
    <m/>
    <m/>
    <m/>
    <m/>
    <n v="2267.5302399999996"/>
    <m/>
    <n v="8628.3076183357352"/>
    <m/>
    <m/>
    <m/>
    <m/>
    <m/>
    <m/>
    <m/>
    <m/>
    <m/>
    <m/>
    <m/>
    <m/>
    <n v="20411.011599999998"/>
    <n v="-2214.9995200000012"/>
    <m/>
    <m/>
    <m/>
    <m/>
    <n v="-2727.9662400000016"/>
    <n v="264.08736000000027"/>
    <n v="31"/>
    <n v="470.20054704190261"/>
    <n v="0"/>
    <n v="0"/>
    <n v="0"/>
    <n v="0"/>
    <n v="0"/>
    <n v="0"/>
    <n v="0"/>
    <n v="137.14720008696031"/>
    <n v="0"/>
    <n v="0"/>
    <n v="348.04425881243242"/>
    <n v="0"/>
    <n v="0"/>
    <n v="0"/>
    <n v="47.217708616420623"/>
    <n v="0"/>
    <n v="0"/>
    <m/>
    <n v="0"/>
    <n v="0"/>
    <n v="0"/>
    <n v="0"/>
    <n v="0"/>
    <n v="-3.1568575663186351"/>
    <n v="0"/>
    <n v="-59.051762907591581"/>
    <m/>
    <m/>
    <m/>
    <n v="12799.762588997188"/>
    <n v="0"/>
    <n v="0"/>
    <n v="-2727.9662400000016"/>
    <n v="264.08736000000044"/>
    <n v="0"/>
    <n v="0"/>
    <n v="-2934.006564652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6.4710000000000001"/>
    <n v="6.4710000000000001"/>
    <n v="6.4710000000000001"/>
    <n v="6.4710000000000001"/>
    <m/>
    <n v="561.96"/>
    <n v="243.39"/>
    <m/>
    <n v="5211.4198500000002"/>
    <n v="5211.4198500000002"/>
    <n v="4700.6638199999998"/>
    <n v="0"/>
    <n v="0"/>
    <n v="0"/>
    <n v="0"/>
    <n v="0"/>
    <n v="758.33044356097696"/>
    <n v="2653.3592937404151"/>
    <n v="1574.9588611089405"/>
    <n v="0"/>
    <n v="0"/>
    <n v="0"/>
    <n v="0"/>
    <n v="0"/>
    <n v="0"/>
    <m/>
    <n v="11.10987495983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.66808014716347"/>
    <n v="0"/>
    <n v="48.62"/>
    <n v="224.55"/>
    <n v="1088.01"/>
    <n v="55"/>
    <m/>
    <m/>
    <m/>
    <m/>
    <m/>
    <m/>
    <m/>
    <m/>
    <m/>
    <n v="1788.6269412561039"/>
    <m/>
    <m/>
    <m/>
    <m/>
    <m/>
    <m/>
    <m/>
    <m/>
    <m/>
    <m/>
    <m/>
    <m/>
    <n v="4699.9373999999998"/>
    <n v="-511.51245000000108"/>
    <m/>
    <m/>
    <m/>
    <m/>
    <n v="-565.5006900000003"/>
    <n v="54.744660000000053"/>
    <n v="31"/>
    <n v="97.471416578298886"/>
    <n v="0"/>
    <n v="0"/>
    <n v="0"/>
    <n v="0"/>
    <n v="0"/>
    <n v="0"/>
    <n v="0"/>
    <n v="28.430277157954947"/>
    <n v="0"/>
    <n v="0"/>
    <n v="72.148718566608522"/>
    <n v="0"/>
    <n v="0"/>
    <n v="0"/>
    <n v="9.7881148275518512"/>
    <n v="0"/>
    <n v="0"/>
    <m/>
    <n v="0"/>
    <n v="0"/>
    <n v="0"/>
    <n v="0"/>
    <n v="0"/>
    <n v="-0.65440880675448199"/>
    <n v="0"/>
    <n v="-12.241285167062568"/>
    <m/>
    <m/>
    <m/>
    <n v="2653.3592937404151"/>
    <n v="0"/>
    <n v="0"/>
    <n v="-565.5006900000003"/>
    <n v="54.744660000000067"/>
    <n v="0"/>
    <n v="0"/>
    <n v="-608.21234238422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"/>
    <s v="Regular"/>
    <s v="Convencional"/>
    <s v="B3"/>
    <s v="Industrial"/>
    <s v="Não se aplica"/>
    <s v="Não se aplica"/>
    <s v="Não se aplica"/>
    <s v="Não se aplica"/>
    <s v="CATIVO"/>
    <x v="0"/>
    <n v="0"/>
    <n v="0"/>
    <n v="0.35"/>
    <n v="0.35"/>
    <n v="0.35"/>
    <n v="0.35"/>
    <m/>
    <n v="597.01"/>
    <n v="243.39"/>
    <m/>
    <n v="294.14"/>
    <n v="294.14"/>
    <n v="266.44799999999998"/>
    <n v="0"/>
    <n v="8.7092171128191591"/>
    <n v="0"/>
    <n v="0"/>
    <n v="0"/>
    <n v="41.016172963427898"/>
    <n v="143.51348366699818"/>
    <n v="85.185535680440296"/>
    <n v="0"/>
    <n v="0"/>
    <n v="0"/>
    <n v="0"/>
    <n v="0"/>
    <n v="3.5556817888945496"/>
    <m/>
    <n v="0.600904997055019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56765268352219"/>
    <n v="0"/>
    <n v="0"/>
    <n v="0"/>
    <n v="0"/>
    <n v="3"/>
    <m/>
    <m/>
    <m/>
    <m/>
    <m/>
    <m/>
    <m/>
    <m/>
    <m/>
    <n v="96.742300948792519"/>
    <m/>
    <m/>
    <m/>
    <m/>
    <m/>
    <m/>
    <m/>
    <m/>
    <m/>
    <m/>
    <m/>
    <m/>
    <n v="266.44799999999998"/>
    <n v="-27.72199999999998"/>
    <m/>
    <m/>
    <m/>
    <m/>
    <n v="-30.652999999999992"/>
    <n v="2.9610000000000025"/>
    <n v="31"/>
    <n v="5.2058380537983737"/>
    <n v="0"/>
    <n v="0"/>
    <n v="0"/>
    <n v="0"/>
    <n v="0"/>
    <n v="0"/>
    <n v="0"/>
    <n v="1.5377216821641468"/>
    <n v="0"/>
    <n v="0"/>
    <n v="3.9023414461926933"/>
    <n v="0"/>
    <n v="0"/>
    <n v="0"/>
    <n v="0.52941433930507564"/>
    <n v="0"/>
    <n v="-6.3515281585244665E-2"/>
    <m/>
    <n v="0"/>
    <n v="0"/>
    <n v="0"/>
    <n v="0"/>
    <n v="-1.9943649253220119E-2"/>
    <n v="-3.5395314845320547E-2"/>
    <n v="0"/>
    <n v="-0.64478516817974341"/>
    <m/>
    <m/>
    <m/>
    <n v="143.51348366699818"/>
    <n v="0"/>
    <n v="0"/>
    <n v="-30.652999999999992"/>
    <n v="2.9609999999999985"/>
    <n v="0"/>
    <n v="0"/>
    <n v="-32.896665095731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"/>
    <s v="Regular"/>
    <s v="Verde"/>
    <s v="A4"/>
    <s v="Industrial"/>
    <s v="Não se aplica"/>
    <s v="Não se aplica"/>
    <s v="Não se aplica"/>
    <s v="Ponta"/>
    <s v="CATIVO"/>
    <x v="0"/>
    <n v="0"/>
    <n v="0"/>
    <n v="0.17"/>
    <n v="0.17"/>
    <n v="0.17"/>
    <n v="0.17"/>
    <m/>
    <n v="2773.91"/>
    <n v="243.39"/>
    <m/>
    <n v="512.94100000000003"/>
    <n v="512.94100000000003"/>
    <n v="441.55290000000002"/>
    <n v="0"/>
    <n v="3.6802663171027232"/>
    <n v="0"/>
    <n v="0"/>
    <n v="0"/>
    <n v="122.48627827526489"/>
    <n v="340.97676046553596"/>
    <n v="41.375831616213858"/>
    <n v="0"/>
    <n v="0"/>
    <n v="0"/>
    <n v="0"/>
    <n v="0"/>
    <n v="1.72704544032021"/>
    <m/>
    <n v="0.11792534862019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770519182930864"/>
    <n v="0"/>
    <n v="0"/>
    <n v="0"/>
    <n v="0"/>
    <n v="0"/>
    <m/>
    <m/>
    <m/>
    <m/>
    <m/>
    <m/>
    <m/>
    <m/>
    <m/>
    <n v="43.952883534506945"/>
    <m/>
    <m/>
    <m/>
    <m/>
    <m/>
    <m/>
    <m/>
    <m/>
    <m/>
    <m/>
    <m/>
    <m/>
    <n v="441.55290000000002"/>
    <n v="-71.418099999999981"/>
    <m/>
    <m/>
    <m/>
    <m/>
    <n v="-72.826299999999989"/>
    <n v="1.4382000000000015"/>
    <n v="31"/>
    <n v="6.7713609918111501"/>
    <n v="0"/>
    <n v="0"/>
    <n v="0"/>
    <n v="0"/>
    <n v="0"/>
    <n v="0"/>
    <n v="0"/>
    <n v="4.5920862982363957"/>
    <n v="0"/>
    <n v="0"/>
    <n v="1.8954229881507416"/>
    <n v="0"/>
    <n v="0"/>
    <n v="0"/>
    <n v="0.11805450807367057"/>
    <n v="0"/>
    <n v="-2.6839743275591577E-2"/>
    <m/>
    <n v="0"/>
    <n v="0"/>
    <n v="0"/>
    <n v="0"/>
    <n v="-9.6869153515639628E-3"/>
    <n v="-6.9461975904886591E-3"/>
    <n v="0"/>
    <n v="0.20927005356797412"/>
    <m/>
    <m/>
    <m/>
    <n v="340.97676046553596"/>
    <n v="0"/>
    <n v="0"/>
    <n v="-72.826300000000003"/>
    <n v="1.4382000000000019"/>
    <n v="0"/>
    <n v="0"/>
    <n v="-78.159891376405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"/>
    <s v="Regular"/>
    <s v="Verde"/>
    <s v="A4"/>
    <s v="Industrial"/>
    <s v="Não se aplica"/>
    <s v="Não se aplica"/>
    <s v="Não se aplica"/>
    <s v="Fora ponta"/>
    <s v="CATIVO"/>
    <x v="0"/>
    <n v="0"/>
    <n v="0"/>
    <n v="20.687999999999999"/>
    <n v="20.687999999999999"/>
    <n v="20.687999999999999"/>
    <n v="20.687999999999999"/>
    <m/>
    <n v="47.66"/>
    <n v="243.39"/>
    <m/>
    <n v="6021.2423999999992"/>
    <n v="6021.2423999999992"/>
    <n v="6206.81376"/>
    <n v="0"/>
    <n v="447.86676216600665"/>
    <n v="0"/>
    <n v="0"/>
    <n v="0"/>
    <n v="0"/>
    <n v="0"/>
    <n v="5035.1953204484253"/>
    <n v="0"/>
    <n v="0"/>
    <n v="0"/>
    <n v="0"/>
    <n v="0"/>
    <n v="210.17127099614413"/>
    <m/>
    <n v="14.350821248556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.61205932733742"/>
    <n v="0"/>
    <n v="0"/>
    <n v="0"/>
    <n v="0"/>
    <n v="0"/>
    <m/>
    <m/>
    <m/>
    <m/>
    <m/>
    <m/>
    <m/>
    <m/>
    <m/>
    <n v="5348.8073797757625"/>
    <m/>
    <m/>
    <m/>
    <m/>
    <m/>
    <m/>
    <m/>
    <m/>
    <m/>
    <m/>
    <m/>
    <m/>
    <n v="6207.4138000000003"/>
    <n v="186.14140000000043"/>
    <m/>
    <m/>
    <m/>
    <m/>
    <n v="10.550880000000106"/>
    <n v="175.02048000000016"/>
    <n v="31"/>
    <n v="185.58132330284752"/>
    <n v="0"/>
    <n v="0"/>
    <n v="0"/>
    <n v="0"/>
    <n v="0"/>
    <n v="0"/>
    <n v="0"/>
    <n v="0"/>
    <n v="0"/>
    <n v="0"/>
    <n v="230.66182811095587"/>
    <n v="0"/>
    <n v="0"/>
    <n v="0"/>
    <n v="14.36653919428295"/>
    <n v="0"/>
    <n v="-3.2662388757967165"/>
    <m/>
    <n v="0"/>
    <n v="0"/>
    <n v="0"/>
    <n v="0"/>
    <n v="-1.1788406164303353"/>
    <n v="-0.8453113867766433"/>
    <n v="0"/>
    <n v="-54.156653123387642"/>
    <m/>
    <m/>
    <m/>
    <n v="0"/>
    <n v="0"/>
    <n v="0"/>
    <n v="10.550880000000006"/>
    <n v="175.02048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"/>
    <s v="Regular"/>
    <s v="Verde"/>
    <s v="A4"/>
    <s v="Industrial"/>
    <s v="Não se aplica"/>
    <s v="Não se aplica"/>
    <s v="Não se aplica"/>
    <s v="Não se aplica"/>
    <s v="CATIVO"/>
    <x v="0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n v="31"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11"/>
    <s v="Regular"/>
    <s v="Convencional"/>
    <s v="B3"/>
    <s v="Comercial"/>
    <s v="Não se aplica"/>
    <s v="Não se aplica"/>
    <s v="Não se aplica"/>
    <s v="Não se aplica"/>
    <s v="CATIVO"/>
    <x v="0"/>
    <n v="0"/>
    <n v="0"/>
    <n v="62.146000000000001"/>
    <n v="62.146000000000001"/>
    <n v="62.146000000000001"/>
    <n v="62.146000000000001"/>
    <m/>
    <n v="597.01"/>
    <n v="243.39"/>
    <m/>
    <n v="52227.498399999997"/>
    <n v="52227.498399999997"/>
    <n v="47310.506880000001"/>
    <n v="0"/>
    <n v="1546.4085905521702"/>
    <n v="0"/>
    <n v="0"/>
    <n v="0"/>
    <n v="7282.8316713862578"/>
    <n v="25482.254159912198"/>
    <n v="15125.543715418979"/>
    <n v="0"/>
    <n v="0"/>
    <n v="0"/>
    <n v="0"/>
    <n v="0"/>
    <n v="631.34685843611624"/>
    <m/>
    <n v="106.69669127708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2.0192410486202"/>
    <n v="0"/>
    <n v="82.84"/>
    <n v="382.38"/>
    <n v="4852.41"/>
    <n v="208"/>
    <m/>
    <m/>
    <m/>
    <m/>
    <m/>
    <m/>
    <m/>
    <m/>
    <m/>
    <n v="17177.562956467598"/>
    <m/>
    <m/>
    <m/>
    <m/>
    <m/>
    <m/>
    <m/>
    <m/>
    <m/>
    <m/>
    <m/>
    <m/>
    <n v="47313.551999999996"/>
    <n v="-4913.9764000000068"/>
    <m/>
    <m/>
    <m/>
    <m/>
    <n v="-5442.7466799999993"/>
    <n v="525.7551600000005"/>
    <n v="31"/>
    <n v="924.34860483244483"/>
    <n v="0"/>
    <n v="0"/>
    <n v="0"/>
    <n v="0"/>
    <n v="0"/>
    <n v="0"/>
    <n v="0"/>
    <n v="273.03786188506638"/>
    <n v="0"/>
    <n v="0"/>
    <n v="692.89974718597659"/>
    <n v="0"/>
    <n v="0"/>
    <n v="0"/>
    <n v="94.002810087009493"/>
    <n v="0"/>
    <n v="-11.277773398276167"/>
    <m/>
    <n v="0"/>
    <n v="0"/>
    <n v="0"/>
    <n v="0"/>
    <n v="-3.5411943614017218"/>
    <n v="-6.2847921039351036"/>
    <n v="0"/>
    <n v="-114.48805446199525"/>
    <m/>
    <m/>
    <m/>
    <n v="25482.254159912198"/>
    <n v="0"/>
    <n v="0"/>
    <n v="-5442.7466799999966"/>
    <n v="525.75516000000061"/>
    <n v="0"/>
    <n v="0"/>
    <n v="-5841.1318543980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5.3890000000000002"/>
    <n v="5.3890000000000002"/>
    <n v="5.3890000000000002"/>
    <n v="5.3890000000000002"/>
    <m/>
    <n v="597.01"/>
    <n v="243.39"/>
    <m/>
    <n v="4528.9156000000003"/>
    <n v="4528.9156000000003"/>
    <n v="4102.5379200000007"/>
    <n v="0"/>
    <n v="134.09706005994988"/>
    <n v="0"/>
    <n v="0"/>
    <n v="0"/>
    <n v="631.53187457117986"/>
    <n v="2209.6976099470094"/>
    <n v="1311.6138622339795"/>
    <n v="0"/>
    <n v="0"/>
    <n v="0"/>
    <n v="0"/>
    <n v="0"/>
    <n v="54.747340458150653"/>
    <m/>
    <n v="9.2522200832271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94116580328603"/>
    <n v="0"/>
    <n v="0"/>
    <n v="0"/>
    <n v="0"/>
    <n v="6"/>
    <m/>
    <m/>
    <m/>
    <m/>
    <m/>
    <m/>
    <m/>
    <m/>
    <m/>
    <n v="1489.5550280372654"/>
    <m/>
    <m/>
    <m/>
    <m/>
    <m/>
    <m/>
    <m/>
    <m/>
    <m/>
    <m/>
    <m/>
    <m/>
    <n v="4103.2991999999995"/>
    <n v="-425.64640000000145"/>
    <m/>
    <m/>
    <m/>
    <m/>
    <n v="-471.96861999999993"/>
    <n v="45.590940000000046"/>
    <n v="31"/>
    <n v="80.155032205484986"/>
    <n v="0"/>
    <n v="0"/>
    <n v="0"/>
    <n v="0"/>
    <n v="0"/>
    <n v="0"/>
    <n v="0"/>
    <n v="23.676520414807442"/>
    <n v="0"/>
    <n v="0"/>
    <n v="60.084908724378465"/>
    <n v="0"/>
    <n v="0"/>
    <n v="0"/>
    <n v="8.1514682129001699"/>
    <n v="0"/>
    <n v="-0.97795386417968189"/>
    <m/>
    <n v="0"/>
    <n v="0"/>
    <n v="0"/>
    <n v="0"/>
    <n v="-0.30707521664457715"/>
    <n v="-0.54498671914694796"/>
    <n v="0"/>
    <n v="-9.9278493466303939"/>
    <m/>
    <m/>
    <m/>
    <n v="2209.6976099470094"/>
    <n v="0"/>
    <n v="0"/>
    <n v="-471.9686200000001"/>
    <n v="45.590940000000046"/>
    <n v="0"/>
    <n v="0"/>
    <n v="-506.5146520025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"/>
    <s v="Regular"/>
    <s v="Branca"/>
    <s v="B3"/>
    <s v="Comercial"/>
    <s v="Não se aplica"/>
    <s v="Não se aplica"/>
    <s v="Não se aplica"/>
    <s v="Ponta"/>
    <s v="CATIVO"/>
    <x v="0"/>
    <n v="0"/>
    <n v="0"/>
    <n v="8.9999999999999993E-3"/>
    <n v="8.9999999999999993E-3"/>
    <n v="8.9999999999999993E-3"/>
    <n v="8.9999999999999993E-3"/>
    <m/>
    <n v="1783.27"/>
    <n v="243.39"/>
    <m/>
    <n v="18.239939999999997"/>
    <n v="18.239939999999997"/>
    <n v="15.728579999999999"/>
    <n v="0"/>
    <n v="0.22395129718677839"/>
    <n v="0"/>
    <n v="0"/>
    <n v="0"/>
    <n v="3.4277819904355047"/>
    <n v="11.993631701500799"/>
    <n v="2.1904852032113218"/>
    <n v="0"/>
    <n v="0"/>
    <n v="0"/>
    <n v="0"/>
    <n v="0"/>
    <n v="9.1431817428716991E-2"/>
    <m/>
    <n v="1.54518427814147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9717396404334279"/>
    <n v="0"/>
    <n v="0"/>
    <n v="0"/>
    <n v="0"/>
    <n v="0"/>
    <m/>
    <m/>
    <m/>
    <m/>
    <m/>
    <m/>
    <m/>
    <m/>
    <m/>
    <n v="2.4876591672546646"/>
    <m/>
    <m/>
    <m/>
    <m/>
    <m/>
    <m/>
    <m/>
    <m/>
    <m/>
    <m/>
    <m/>
    <m/>
    <n v="17.476200000000002"/>
    <n v="-0.79373999999999967"/>
    <m/>
    <m/>
    <m/>
    <m/>
    <n v="-2.5874999999999999"/>
    <n v="7.6140000000000069E-2"/>
    <n v="31"/>
    <n v="0.23790499137308085"/>
    <n v="0"/>
    <n v="0"/>
    <n v="0"/>
    <n v="0"/>
    <n v="0"/>
    <n v="0"/>
    <n v="0"/>
    <n v="0.12850966600720204"/>
    <n v="0"/>
    <n v="0"/>
    <n v="0.10034592290209776"/>
    <n v="0"/>
    <n v="0"/>
    <n v="0"/>
    <n v="1.3613511582130533E-2"/>
    <n v="0"/>
    <n v="-1.6332500979062969E-3"/>
    <m/>
    <n v="0"/>
    <n v="0"/>
    <n v="0"/>
    <n v="0"/>
    <n v="-5.128366950827995E-4"/>
    <n v="-9.1016523887966876E-4"/>
    <n v="0"/>
    <n v="-1.5078570864800397E-3"/>
    <m/>
    <m/>
    <m/>
    <n v="11.993631701500799"/>
    <n v="0"/>
    <n v="0"/>
    <n v="-2.5874999999999986"/>
    <n v="7.6140000000000096E-2"/>
    <n v="0"/>
    <n v="0"/>
    <n v="-2.7492224095215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"/>
    <s v="Regular"/>
    <s v="Branca"/>
    <s v="B3"/>
    <s v="Comercial"/>
    <s v="Não se aplica"/>
    <s v="Não se aplica"/>
    <s v="Não se aplica"/>
    <s v="Fora ponta"/>
    <s v="CATIVO"/>
    <x v="0"/>
    <n v="0"/>
    <n v="0"/>
    <n v="0.32700000000000001"/>
    <n v="0.32700000000000001"/>
    <n v="0.32700000000000001"/>
    <n v="0.32700000000000001"/>
    <m/>
    <n v="412.48"/>
    <n v="243.39"/>
    <m/>
    <n v="214.46949000000001"/>
    <n v="214.46949000000001"/>
    <n v="198.76695000000001"/>
    <n v="0"/>
    <n v="8.1368971311196159"/>
    <n v="0"/>
    <n v="0"/>
    <n v="0"/>
    <n v="24.908942403118303"/>
    <n v="87.153760489810708"/>
    <n v="79.587629050011373"/>
    <n v="0"/>
    <n v="0"/>
    <n v="0"/>
    <n v="0"/>
    <n v="0"/>
    <n v="3.3220226999100508"/>
    <m/>
    <n v="0.561416954391404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797320693574788"/>
    <n v="0"/>
    <n v="0"/>
    <n v="0"/>
    <n v="0"/>
    <n v="0"/>
    <m/>
    <m/>
    <m/>
    <m/>
    <m/>
    <m/>
    <m/>
    <m/>
    <m/>
    <n v="90.384949743586162"/>
    <m/>
    <m/>
    <m/>
    <m/>
    <m/>
    <m/>
    <m/>
    <m/>
    <m/>
    <m/>
    <m/>
    <m/>
    <n v="200.59050000000002"/>
    <n v="-13.90898999999996"/>
    <m/>
    <m/>
    <m/>
    <m/>
    <n v="-18.468960000000006"/>
    <n v="2.7664200000000028"/>
    <n v="31"/>
    <n v="4.2757345106521143"/>
    <n v="0"/>
    <n v="0"/>
    <n v="0"/>
    <n v="0"/>
    <n v="0"/>
    <n v="0"/>
    <n v="0"/>
    <n v="0.93385165035270745"/>
    <n v="0"/>
    <n v="0"/>
    <n v="3.6459018654428945"/>
    <n v="0"/>
    <n v="0"/>
    <n v="0"/>
    <n v="0.49462425415074307"/>
    <n v="0"/>
    <n v="-5.9341420223928409E-2"/>
    <m/>
    <n v="0"/>
    <n v="0"/>
    <n v="0"/>
    <n v="0"/>
    <n v="-1.863306658800834E-2"/>
    <n v="-3.3069337012627931E-2"/>
    <n v="0"/>
    <n v="-0.68759943546966051"/>
    <m/>
    <m/>
    <m/>
    <n v="87.153760489810708"/>
    <n v="0"/>
    <n v="0"/>
    <n v="-18.46896000000001"/>
    <n v="2.7664199999999965"/>
    <n v="0"/>
    <n v="0"/>
    <n v="-19.977691276169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16"/>
    <s v="Regular"/>
    <s v="Branca"/>
    <s v="B3"/>
    <s v="Comercial"/>
    <s v="Não se aplica"/>
    <s v="Não se aplica"/>
    <s v="Não se aplica"/>
    <s v="Intermediário"/>
    <s v="CATIVO"/>
    <x v="0"/>
    <n v="0"/>
    <n v="0"/>
    <n v="1.0999999999999999E-2"/>
    <n v="1.0999999999999999E-2"/>
    <n v="1.0999999999999999E-2"/>
    <n v="1.0999999999999999E-2"/>
    <m/>
    <n v="1097.8699999999999"/>
    <n v="243.39"/>
    <m/>
    <n v="14.753859999999998"/>
    <n v="14.753859999999998"/>
    <n v="12.955030000000001"/>
    <n v="0"/>
    <n v="0.2737182521171736"/>
    <n v="0"/>
    <n v="0"/>
    <n v="0"/>
    <n v="2.5137261281960188"/>
    <n v="8.7953284704979762"/>
    <n v="2.6772596928138377"/>
    <n v="0"/>
    <n v="0"/>
    <n v="0"/>
    <n v="0"/>
    <n v="0"/>
    <n v="0.11174999907954299"/>
    <m/>
    <n v="1.888558562172919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6321262271964116"/>
    <n v="0"/>
    <n v="0"/>
    <n v="0"/>
    <n v="0"/>
    <n v="0"/>
    <m/>
    <m/>
    <m/>
    <m/>
    <m/>
    <m/>
    <m/>
    <m/>
    <m/>
    <n v="3.0404723155334787"/>
    <m/>
    <m/>
    <m/>
    <m/>
    <m/>
    <m/>
    <m/>
    <m/>
    <m/>
    <m/>
    <m/>
    <m/>
    <n v="11.7773"/>
    <n v="-3.0065599999999968"/>
    <m/>
    <m/>
    <m/>
    <m/>
    <n v="-1.8918899999999987"/>
    <n v="9.3060000000000087E-2"/>
    <n v="31"/>
    <n v="0.21730289944307657"/>
    <n v="0"/>
    <n v="0"/>
    <n v="0"/>
    <n v="0"/>
    <n v="0"/>
    <n v="0"/>
    <n v="0"/>
    <n v="9.4241146627595196E-2"/>
    <n v="0"/>
    <n v="0"/>
    <n v="0.12264501688034191"/>
    <n v="0"/>
    <n v="0"/>
    <n v="0"/>
    <n v="1.6638736378159547E-2"/>
    <n v="0"/>
    <n v="-1.9961945641077117E-3"/>
    <m/>
    <n v="0"/>
    <n v="0"/>
    <n v="0"/>
    <n v="0"/>
    <n v="-6.2680040510119939E-4"/>
    <n v="-1.1124241808529306E-3"/>
    <n v="0"/>
    <n v="-1.2486581292958848E-2"/>
    <m/>
    <m/>
    <m/>
    <n v="8.7953284704979762"/>
    <n v="0"/>
    <n v="0"/>
    <n v="-1.8918899999999983"/>
    <n v="9.3059999999999921E-2"/>
    <n v="0"/>
    <n v="0"/>
    <n v="-2.0160961026650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"/>
    <s v="Regular"/>
    <s v="Convencional"/>
    <s v="B2"/>
    <s v="Rural"/>
    <s v="Não se aplica"/>
    <s v="Não se aplica"/>
    <s v="Não se aplica"/>
    <s v="Não se aplica"/>
    <s v="CATIVO"/>
    <x v="0"/>
    <n v="0"/>
    <n v="0"/>
    <n v="206.80799999999999"/>
    <n v="206.80799999999999"/>
    <n v="206.80799999999999"/>
    <n v="206.80799999999999"/>
    <m/>
    <n v="597.01"/>
    <n v="243.39"/>
    <m/>
    <n v="173801.44319999998"/>
    <n v="173801.44319999998"/>
    <n v="157438.79423999999"/>
    <n v="0"/>
    <n v="5146.1022076225854"/>
    <n v="0"/>
    <n v="0"/>
    <n v="0"/>
    <n v="24235.636280630275"/>
    <n v="84799.247229155895"/>
    <n v="50334.429322858559"/>
    <n v="0"/>
    <n v="0"/>
    <n v="0"/>
    <n v="0"/>
    <n v="0"/>
    <n v="2100.9812554220116"/>
    <m/>
    <n v="355.06274465987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28.6614617639589"/>
    <n v="0"/>
    <n v="111.32"/>
    <n v="513.29999999999995"/>
    <n v="0"/>
    <n v="1819"/>
    <m/>
    <m/>
    <m/>
    <m/>
    <m/>
    <n v="18893.978879999995"/>
    <m/>
    <m/>
    <m/>
    <n v="57163.090784622516"/>
    <m/>
    <m/>
    <m/>
    <m/>
    <m/>
    <m/>
    <m/>
    <m/>
    <m/>
    <m/>
    <m/>
    <m/>
    <n v="138546.15520000001"/>
    <n v="-14398.73119999998"/>
    <m/>
    <m/>
    <m/>
    <m/>
    <n v="-18112.244639999997"/>
    <n v="1749.5956800000015"/>
    <n v="31"/>
    <n v="3076.025589228404"/>
    <n v="0"/>
    <n v="0"/>
    <n v="0"/>
    <n v="0"/>
    <n v="0"/>
    <n v="0"/>
    <n v="0"/>
    <n v="908.60898755715607"/>
    <n v="0"/>
    <n v="0"/>
    <n v="2305.8155137263457"/>
    <n v="0"/>
    <n v="0"/>
    <n v="0"/>
    <n v="312.8203448085842"/>
    <n v="0"/>
    <n v="-37.529909583089648"/>
    <m/>
    <n v="0"/>
    <n v="0"/>
    <n v="0"/>
    <n v="0"/>
    <n v="-11.784303470742543"/>
    <n v="-20.914383635802949"/>
    <n v="0"/>
    <n v="-380.99066017404675"/>
    <m/>
    <m/>
    <m/>
    <n v="84799.247229155895"/>
    <n v="0"/>
    <n v="0"/>
    <n v="-18112.24463999999"/>
    <n v="1749.5956800000058"/>
    <n v="0"/>
    <n v="0"/>
    <n v="-19437.98147176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8"/>
    <s v="Regular"/>
    <s v="Branca"/>
    <s v="B2"/>
    <s v="Rural"/>
    <s v="Não se aplica"/>
    <s v="Não se aplica"/>
    <s v="Não se aplica"/>
    <s v="Ponta"/>
    <s v="CATIVO"/>
    <x v="0"/>
    <n v="0"/>
    <n v="0"/>
    <n v="0.03"/>
    <n v="0.03"/>
    <n v="0.03"/>
    <n v="0.03"/>
    <m/>
    <n v="1298.56"/>
    <n v="214.18"/>
    <m/>
    <n v="45.382199999999997"/>
    <n v="45.382199999999997"/>
    <n v="39.384299999999996"/>
    <n v="0"/>
    <n v="0.65692380508121695"/>
    <n v="0"/>
    <n v="0"/>
    <n v="0"/>
    <n v="8.2496461738898699"/>
    <n v="28.864974469521869"/>
    <n v="6.4254232627532097"/>
    <n v="0"/>
    <n v="0"/>
    <n v="0"/>
    <n v="0"/>
    <n v="0"/>
    <n v="0.26819999779090292"/>
    <m/>
    <n v="4.53254054921502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171029452713888"/>
    <n v="0"/>
    <n v="0"/>
    <n v="0"/>
    <n v="0"/>
    <n v="0"/>
    <m/>
    <m/>
    <m/>
    <m/>
    <m/>
    <m/>
    <m/>
    <m/>
    <m/>
    <n v="7.2971335572803486"/>
    <m/>
    <m/>
    <m/>
    <m/>
    <m/>
    <m/>
    <m/>
    <m/>
    <m/>
    <m/>
    <m/>
    <m/>
    <n v="39.384299999999996"/>
    <n v="-6.0278999999999954"/>
    <m/>
    <m/>
    <m/>
    <m/>
    <n v="-6.2213999999999965"/>
    <n v="0.22349999999999964"/>
    <n v="31"/>
    <n v="0.6187117447986239"/>
    <n v="0"/>
    <n v="0"/>
    <n v="0"/>
    <n v="0"/>
    <n v="0"/>
    <n v="0"/>
    <n v="0"/>
    <n v="0.30928433530556987"/>
    <n v="0"/>
    <n v="0"/>
    <n v="0.29434804051281027"/>
    <n v="0"/>
    <n v="0"/>
    <n v="0"/>
    <n v="3.9932967307584111E-2"/>
    <n v="0"/>
    <n v="-4.7908669538579973E-3"/>
    <m/>
    <n v="0"/>
    <n v="0"/>
    <n v="0"/>
    <n v="0"/>
    <n v="-1.504320972241513E-3"/>
    <n v="-2.6698180340472E-3"/>
    <n v="0"/>
    <n v="-1.5888592367195399E-2"/>
    <m/>
    <m/>
    <m/>
    <n v="28.864974469521869"/>
    <n v="0"/>
    <n v="0"/>
    <n v="-6.2213999999999956"/>
    <n v="0.22349999999999959"/>
    <n v="0"/>
    <n v="0"/>
    <n v="-6.616530892135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"/>
    <s v="Regular"/>
    <s v="Branca"/>
    <s v="B2"/>
    <s v="Rural"/>
    <s v="Não se aplica"/>
    <s v="Não se aplica"/>
    <s v="Não se aplica"/>
    <s v="Fora ponta"/>
    <s v="CATIVO"/>
    <x v="0"/>
    <n v="0"/>
    <n v="0"/>
    <n v="0.35799999999999998"/>
    <n v="0.35799999999999998"/>
    <n v="0.35799999999999998"/>
    <n v="0.35799999999999998"/>
    <m/>
    <n v="308.83999999999997"/>
    <n v="214.18"/>
    <m/>
    <n v="187.24115999999998"/>
    <n v="187.24115999999998"/>
    <n v="175.38061999999996"/>
    <n v="0"/>
    <n v="7.8392907406358558"/>
    <n v="0"/>
    <n v="0"/>
    <n v="0"/>
    <n v="19.689716581752357"/>
    <n v="68.89110784715713"/>
    <n v="76.676717602188305"/>
    <n v="0"/>
    <n v="0"/>
    <n v="0"/>
    <n v="0"/>
    <n v="0"/>
    <n v="3.2005199736381083"/>
    <m/>
    <n v="0.54088317220632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02409514690524"/>
    <n v="0"/>
    <n v="0"/>
    <n v="0"/>
    <n v="0"/>
    <n v="0"/>
    <m/>
    <m/>
    <m/>
    <m/>
    <m/>
    <m/>
    <m/>
    <m/>
    <m/>
    <n v="87.079127116878823"/>
    <m/>
    <m/>
    <m/>
    <m/>
    <m/>
    <m/>
    <m/>
    <m/>
    <m/>
    <m/>
    <m/>
    <m/>
    <n v="176.3604"/>
    <n v="-10.910759999999982"/>
    <m/>
    <m/>
    <m/>
    <m/>
    <n v="-14.527639999999995"/>
    <n v="2.667099999999996"/>
    <n v="31"/>
    <n v="3.9304692210653087"/>
    <n v="0"/>
    <n v="0"/>
    <n v="0"/>
    <n v="0"/>
    <n v="0"/>
    <n v="0"/>
    <n v="0"/>
    <n v="0.73817964758491783"/>
    <n v="0"/>
    <n v="0"/>
    <n v="3.5125532834528741"/>
    <n v="0"/>
    <n v="0"/>
    <n v="0"/>
    <n v="0.47653340987050363"/>
    <n v="0"/>
    <n v="-5.717101231603916E-2"/>
    <m/>
    <n v="0"/>
    <n v="0"/>
    <n v="0"/>
    <n v="0"/>
    <n v="-1.7951563602082388E-2"/>
    <n v="-3.1859828539629986E-2"/>
    <n v="0"/>
    <n v="-0.68981471538523276"/>
    <m/>
    <m/>
    <m/>
    <n v="68.89110784715713"/>
    <n v="0"/>
    <n v="0"/>
    <n v="-14.527639999999991"/>
    <n v="2.6670999999999907"/>
    <n v="0"/>
    <n v="0"/>
    <n v="-15.791461854416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"/>
    <s v="Regular"/>
    <s v="Branca"/>
    <s v="B2"/>
    <s v="Rural"/>
    <s v="Não se aplica"/>
    <s v="Não se aplica"/>
    <s v="Não se aplica"/>
    <s v="Não se aplica"/>
    <s v="CATIVO"/>
    <x v="0"/>
    <n v="0"/>
    <n v="0"/>
    <n v="0.33700000000000002"/>
    <n v="0.33700000000000002"/>
    <n v="0.33700000000000002"/>
    <n v="0.33700000000000002"/>
    <m/>
    <n v="597.01"/>
    <n v="243.39"/>
    <m/>
    <n v="283.21480000000003"/>
    <n v="283.21480000000003"/>
    <n v="256.55136000000005"/>
    <n v="0"/>
    <n v="8.3857319057715927"/>
    <n v="0"/>
    <n v="0"/>
    <n v="0"/>
    <n v="39.492715110500583"/>
    <n v="138.18298284508111"/>
    <n v="82.021501498023952"/>
    <n v="0"/>
    <n v="0"/>
    <n v="0"/>
    <n v="0"/>
    <n v="0"/>
    <n v="3.4236136081641808"/>
    <m/>
    <n v="0.57858566859297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127513986956281"/>
    <n v="0"/>
    <n v="0.51"/>
    <n v="2.35"/>
    <n v="0"/>
    <n v="5"/>
    <m/>
    <m/>
    <m/>
    <m/>
    <m/>
    <n v="30.788319999999999"/>
    <m/>
    <m/>
    <m/>
    <n v="93.149015484980225"/>
    <m/>
    <m/>
    <m/>
    <m/>
    <m/>
    <m/>
    <m/>
    <m/>
    <m/>
    <m/>
    <m/>
    <m/>
    <n v="227.77280000000002"/>
    <n v="-21.485549999999989"/>
    <m/>
    <m/>
    <m/>
    <m/>
    <n v="-29.514459999999996"/>
    <n v="2.8510200000000028"/>
    <n v="31"/>
    <n v="5.0124783546573042"/>
    <n v="0"/>
    <n v="0"/>
    <n v="0"/>
    <n v="0"/>
    <n v="0"/>
    <n v="0"/>
    <n v="0"/>
    <n v="1.4806063053980481"/>
    <n v="0"/>
    <n v="0"/>
    <n v="3.7573973353341188"/>
    <n v="0"/>
    <n v="0"/>
    <n v="0"/>
    <n v="0.50975037813088697"/>
    <n v="0"/>
    <n v="-6.1156142554937176E-2"/>
    <m/>
    <n v="0"/>
    <n v="0"/>
    <n v="0"/>
    <n v="0"/>
    <n v="-1.920288513810009E-2"/>
    <n v="-3.4080631722494314E-2"/>
    <n v="0"/>
    <n v="-0.62083600479021017"/>
    <m/>
    <m/>
    <m/>
    <n v="138.18298284508111"/>
    <n v="0"/>
    <n v="0"/>
    <n v="-29.514459999999985"/>
    <n v="2.8510200000000054"/>
    <n v="0"/>
    <n v="0"/>
    <n v="-31.67478896360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1"/>
    <s v="Regular"/>
    <s v="Branca"/>
    <s v="B2"/>
    <s v="Rural"/>
    <s v="Não se aplica"/>
    <s v="Não se aplica"/>
    <s v="Não se aplica"/>
    <s v="Intermediário"/>
    <s v="CATIVO"/>
    <x v="0"/>
    <n v="0"/>
    <n v="0"/>
    <n v="0.02"/>
    <n v="0.02"/>
    <n v="0.02"/>
    <n v="0.02"/>
    <m/>
    <n v="803.7"/>
    <n v="214.18"/>
    <m/>
    <n v="20.357600000000001"/>
    <n v="20.357600000000001"/>
    <n v="18.027000000000001"/>
    <n v="0"/>
    <n v="0.437949203387478"/>
    <n v="0"/>
    <n v="0"/>
    <n v="0"/>
    <n v="3.29987312360984"/>
    <n v="11.545985827298701"/>
    <n v="4.2836155085021401"/>
    <n v="0"/>
    <n v="0"/>
    <n v="0"/>
    <n v="0"/>
    <n v="0"/>
    <n v="0.17879999852726861"/>
    <m/>
    <n v="3.021693699476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1140196351426"/>
    <n v="0"/>
    <n v="0"/>
    <n v="0"/>
    <n v="0"/>
    <n v="0"/>
    <m/>
    <m/>
    <m/>
    <m/>
    <m/>
    <m/>
    <m/>
    <m/>
    <m/>
    <n v="4.8647557048535663"/>
    <m/>
    <m/>
    <m/>
    <m/>
    <m/>
    <m/>
    <m/>
    <m/>
    <m/>
    <m/>
    <m/>
    <m/>
    <n v="18.027000000000001"/>
    <n v="-2.3606000000000051"/>
    <m/>
    <m/>
    <m/>
    <m/>
    <n v="-2.4796000000000005"/>
    <n v="0.14899999999999977"/>
    <n v="31"/>
    <n v="0.31602684473496012"/>
    <n v="0"/>
    <n v="0"/>
    <n v="0"/>
    <n v="0"/>
    <n v="0"/>
    <n v="0"/>
    <n v="0"/>
    <n v="0.12371428351175995"/>
    <n v="0"/>
    <n v="0"/>
    <n v="0.19623202700854048"/>
    <n v="0"/>
    <n v="0"/>
    <n v="0"/>
    <n v="2.6621978205056074E-2"/>
    <n v="0"/>
    <n v="-3.1939113025720167E-3"/>
    <m/>
    <n v="0"/>
    <n v="0"/>
    <n v="0"/>
    <n v="0"/>
    <n v="-1.0028806481610086E-3"/>
    <n v="-1.7798786893648E-3"/>
    <n v="0"/>
    <n v="-2.4564773350298198E-2"/>
    <m/>
    <m/>
    <m/>
    <n v="11.545985827298701"/>
    <n v="0"/>
    <n v="0"/>
    <n v="-2.4796000000000014"/>
    <n v="0.14900000000000002"/>
    <n v="0"/>
    <n v="0"/>
    <n v="-2.646611449012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15.272"/>
    <n v="15.272"/>
    <n v="15.272"/>
    <n v="15.272"/>
    <m/>
    <n v="597.01"/>
    <n v="243.39"/>
    <m/>
    <n v="12834.5888"/>
    <n v="12834.5888"/>
    <n v="11626.26816"/>
    <n v="0"/>
    <n v="380.02046784849779"/>
    <n v="0"/>
    <n v="0"/>
    <n v="0"/>
    <n v="1789.711409992774"/>
    <n v="6262.1083501782759"/>
    <n v="3717.0100026048121"/>
    <n v="0"/>
    <n v="0"/>
    <n v="0"/>
    <n v="0"/>
    <n v="0"/>
    <n v="155.14963508570733"/>
    <m/>
    <n v="26.220060328640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4.27119765221454"/>
    <n v="0"/>
    <n v="13.36"/>
    <n v="61.62"/>
    <n v="998.79"/>
    <n v="30"/>
    <m/>
    <m/>
    <m/>
    <m/>
    <m/>
    <m/>
    <m/>
    <m/>
    <m/>
    <n v="4221.2812002570263"/>
    <m/>
    <m/>
    <m/>
    <m/>
    <m/>
    <m/>
    <m/>
    <m/>
    <m/>
    <m/>
    <m/>
    <m/>
    <n v="11624.7456"/>
    <n v="-1209.8732"/>
    <m/>
    <m/>
    <m/>
    <m/>
    <n v="-1337.5217599999999"/>
    <n v="129.20112000000012"/>
    <n v="31"/>
    <n v="227.15302502173927"/>
    <n v="0"/>
    <n v="0"/>
    <n v="0"/>
    <n v="0"/>
    <n v="0"/>
    <n v="0"/>
    <n v="0"/>
    <n v="67.097387228602656"/>
    <n v="0"/>
    <n v="0"/>
    <n v="170.27588161787116"/>
    <n v="0"/>
    <n v="0"/>
    <n v="0"/>
    <n v="23.100616542477553"/>
    <n v="0"/>
    <n v="-2.77144394391388"/>
    <m/>
    <n v="0"/>
    <n v="0"/>
    <n v="0"/>
    <n v="0"/>
    <n v="-0.87022688970048989"/>
    <n v="-1.5444492809078127"/>
    <n v="0"/>
    <n v="-28.134740252688694"/>
    <m/>
    <m/>
    <m/>
    <n v="6262.1083501782759"/>
    <n v="0"/>
    <n v="0"/>
    <n v="-1337.5217599999996"/>
    <n v="129.20112000000017"/>
    <n v="0"/>
    <n v="0"/>
    <n v="-1435.422483834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132.27799999999999"/>
    <n v="132.27799999999999"/>
    <n v="132.27799999999999"/>
    <n v="132.27799999999999"/>
    <m/>
    <n v="328.35"/>
    <n v="133.86000000000001"/>
    <m/>
    <n v="61140.214380000005"/>
    <n v="61140.214380000005"/>
    <n v="55384.798600000002"/>
    <n v="0"/>
    <n v="1810.345147677777"/>
    <n v="0"/>
    <n v="0"/>
    <n v="0"/>
    <n v="8525.8443714027817"/>
    <n v="29831.491788219344"/>
    <n v="17707.127882301455"/>
    <n v="0"/>
    <n v="0"/>
    <n v="0"/>
    <n v="0"/>
    <n v="0"/>
    <n v="739.10331891218937"/>
    <m/>
    <n v="124.907374743555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2.2519654054399"/>
    <n v="0"/>
    <n v="0"/>
    <n v="0"/>
    <n v="0"/>
    <n v="5"/>
    <m/>
    <m/>
    <m/>
    <m/>
    <m/>
    <m/>
    <m/>
    <m/>
    <m/>
    <n v="20109.379847706896"/>
    <m/>
    <m/>
    <m/>
    <m/>
    <m/>
    <m/>
    <m/>
    <m/>
    <m/>
    <m/>
    <m/>
    <m/>
    <n v="55385.636000000006"/>
    <n v="-5754.6083800000051"/>
    <m/>
    <m/>
    <m/>
    <m/>
    <n v="-6371.8312600000017"/>
    <n v="616.41547999999955"/>
    <n v="31"/>
    <n v="1082.1137581262119"/>
    <n v="0"/>
    <n v="0"/>
    <n v="0"/>
    <n v="0"/>
    <n v="0"/>
    <n v="0"/>
    <n v="0"/>
    <n v="319.63917648660754"/>
    <n v="0"/>
    <n v="0"/>
    <n v="811.16187714488478"/>
    <n v="0"/>
    <n v="0"/>
    <n v="0"/>
    <n v="110.04693853149911"/>
    <n v="0"/>
    <n v="-13.202631227554093"/>
    <m/>
    <n v="0"/>
    <n v="0"/>
    <n v="0"/>
    <n v="0"/>
    <n v="-4.1455951992960536"/>
    <n v="-7.3574622897433954"/>
    <n v="0"/>
    <n v="-134.02854532018375"/>
    <m/>
    <m/>
    <m/>
    <n v="29831.491788219344"/>
    <n v="0"/>
    <n v="0"/>
    <n v="-6371.831259999999"/>
    <n v="616.41547999999966"/>
    <n v="0"/>
    <n v="0"/>
    <n v="-6838.0793886950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4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60.37"/>
    <n v="56.747799999999991"/>
    <n v="60.37"/>
    <n v="56.747799999999991"/>
    <m/>
    <n v="597.01"/>
    <n v="243.39"/>
    <m/>
    <n v="50734.947999999997"/>
    <n v="50734.947999999997"/>
    <n v="45958.473599999998"/>
    <n v="0"/>
    <n v="1502.2155345739791"/>
    <n v="0"/>
    <n v="0"/>
    <n v="0"/>
    <n v="7074.703890863263"/>
    <n v="24754.025739933371"/>
    <n v="14693.287968651945"/>
    <n v="0"/>
    <n v="0"/>
    <n v="0"/>
    <n v="0"/>
    <n v="0"/>
    <n v="613.30431313018278"/>
    <m/>
    <n v="103.64752763489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3.3769121440671"/>
    <n v="0"/>
    <n v="0"/>
    <n v="0"/>
    <n v="0"/>
    <n v="9"/>
    <m/>
    <m/>
    <m/>
    <m/>
    <n v="2757.5084160000051"/>
    <m/>
    <m/>
    <m/>
    <m/>
    <n v="16686.664880796012"/>
    <m/>
    <m/>
    <m/>
    <m/>
    <m/>
    <m/>
    <m/>
    <m/>
    <m/>
    <m/>
    <m/>
    <m/>
    <n v="43202.64"/>
    <n v="-4488.2411199999988"/>
    <m/>
    <m/>
    <m/>
    <m/>
    <n v="-5287.2045999999991"/>
    <n v="510.73020000000048"/>
    <n v="31"/>
    <n v="897.93269516517103"/>
    <n v="0"/>
    <n v="0"/>
    <n v="0"/>
    <n v="0"/>
    <n v="0"/>
    <n v="0"/>
    <n v="0"/>
    <n v="265.23502272071437"/>
    <n v="0"/>
    <n v="0"/>
    <n v="673.0981517332948"/>
    <n v="0"/>
    <n v="0"/>
    <n v="0"/>
    <n v="91.3164104681357"/>
    <n v="0"/>
    <n v="-10.955478712289278"/>
    <m/>
    <n v="0"/>
    <n v="0"/>
    <n v="0"/>
    <n v="0"/>
    <n v="-3.4399945869054136"/>
    <n v="-6.1051861634628466"/>
    <n v="0"/>
    <n v="-111.21623029431746"/>
    <m/>
    <m/>
    <m/>
    <n v="24754.025739933371"/>
    <n v="0"/>
    <n v="0"/>
    <n v="-5287.2046000000009"/>
    <n v="510.73019999999997"/>
    <n v="0"/>
    <n v="0"/>
    <n v="-5674.204776655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2.827"/>
    <n v="2.827"/>
    <n v="2.827"/>
    <n v="2.827"/>
    <m/>
    <n v="597.01"/>
    <n v="243.39"/>
    <m/>
    <n v="2375.8107999999997"/>
    <n v="2375.8107999999997"/>
    <n v="2152.1385599999999"/>
    <n v="0"/>
    <n v="70.345590794113619"/>
    <n v="0"/>
    <n v="0"/>
    <n v="0"/>
    <n v="331.29348847888764"/>
    <n v="1159.1789095045826"/>
    <n v="688.05574105315634"/>
    <n v="0"/>
    <n v="0"/>
    <n v="0"/>
    <n v="0"/>
    <n v="0"/>
    <n v="28.719749763442547"/>
    <m/>
    <n v="4.8535955047844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.345644038947782"/>
    <n v="0"/>
    <n v="0"/>
    <n v="0"/>
    <n v="736.78"/>
    <n v="3"/>
    <m/>
    <m/>
    <m/>
    <m/>
    <m/>
    <m/>
    <m/>
    <m/>
    <m/>
    <n v="781.40138509210408"/>
    <m/>
    <m/>
    <m/>
    <m/>
    <m/>
    <m/>
    <m/>
    <m/>
    <m/>
    <m/>
    <m/>
    <m/>
    <n v="2154.4224000000004"/>
    <n v="-221.41839999999956"/>
    <m/>
    <m/>
    <m/>
    <m/>
    <n v="-247.58865999999995"/>
    <n v="23.916420000000024"/>
    <n v="31"/>
    <n v="42.048297651680286"/>
    <n v="0"/>
    <n v="0"/>
    <n v="0"/>
    <n v="0"/>
    <n v="0"/>
    <n v="0"/>
    <n v="0"/>
    <n v="12.420397701365857"/>
    <n v="0"/>
    <n v="0"/>
    <n v="31.519769338247897"/>
    <n v="0"/>
    <n v="0"/>
    <n v="0"/>
    <n v="4.2761552491869992"/>
    <n v="0"/>
    <n v="-0.51302200297567424"/>
    <m/>
    <n v="0"/>
    <n v="0"/>
    <n v="0"/>
    <n v="0"/>
    <n v="-0.16108770411100792"/>
    <n v="-0.28589301447920246"/>
    <n v="0"/>
    <n v="-5.2080219155546708"/>
    <m/>
    <m/>
    <m/>
    <n v="1159.1789095045826"/>
    <n v="0"/>
    <n v="0"/>
    <n v="-247.58865999999989"/>
    <n v="23.916420000000016"/>
    <n v="0"/>
    <n v="0"/>
    <n v="-265.71106350180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7"/>
    <s v="Regular"/>
    <s v="Convencional"/>
    <s v="B2"/>
    <s v="Rural"/>
    <s v="Agropecuária rural"/>
    <s v="IRRIG./AQUIC."/>
    <s v="Não se aplica"/>
    <s v="Não se aplica"/>
    <s v="CATIVO"/>
    <x v="0"/>
    <n v="0"/>
    <n v="0"/>
    <n v="1.0669999999999999"/>
    <n v="1.0669999999999999"/>
    <n v="1.0669999999999999"/>
    <n v="1.0669999999999999"/>
    <m/>
    <n v="597.01"/>
    <n v="243.39"/>
    <m/>
    <n v="896.70679999999993"/>
    <n v="896.70679999999993"/>
    <n v="812.28575999999998"/>
    <n v="0"/>
    <n v="26.550670455365839"/>
    <n v="0"/>
    <n v="0"/>
    <n v="0"/>
    <n v="125.0407330056502"/>
    <n v="437.51110592196306"/>
    <n v="259.69419020294225"/>
    <n v="0"/>
    <n v="0"/>
    <n v="0"/>
    <n v="0"/>
    <n v="0"/>
    <n v="10.839749910715669"/>
    <m/>
    <n v="1.8319018053077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231624403805192"/>
    <n v="0"/>
    <n v="0"/>
    <n v="0"/>
    <n v="0"/>
    <n v="0"/>
    <m/>
    <m/>
    <m/>
    <m/>
    <m/>
    <n v="97.481119999999976"/>
    <m/>
    <m/>
    <m/>
    <n v="294.92581460674745"/>
    <m/>
    <m/>
    <m/>
    <m/>
    <m/>
    <m/>
    <m/>
    <m/>
    <m/>
    <m/>
    <m/>
    <m/>
    <n v="716.81440000000009"/>
    <n v="-72.315449999999942"/>
    <m/>
    <m/>
    <m/>
    <m/>
    <n v="-93.447859999999977"/>
    <n v="9.0268200000000078"/>
    <n v="31"/>
    <n v="15.870369152579713"/>
    <n v="0"/>
    <n v="0"/>
    <n v="0"/>
    <n v="0"/>
    <n v="0"/>
    <n v="0"/>
    <n v="0"/>
    <n v="4.6878543853404153"/>
    <n v="0"/>
    <n v="0"/>
    <n v="11.896566637393164"/>
    <n v="0"/>
    <n v="0"/>
    <n v="0"/>
    <n v="1.6139574286814735"/>
    <n v="0"/>
    <n v="-0.19363087271844748"/>
    <m/>
    <n v="0"/>
    <n v="0"/>
    <n v="0"/>
    <n v="0"/>
    <n v="-6.0799639294815577E-2"/>
    <n v="-0.10790514554273423"/>
    <n v="0"/>
    <n v="-1.9656736412793889"/>
    <m/>
    <m/>
    <m/>
    <n v="437.51110592196306"/>
    <n v="0"/>
    <n v="0"/>
    <n v="-93.447859999999878"/>
    <n v="9.0268200000000434"/>
    <n v="0"/>
    <n v="0"/>
    <n v="-100.28783330612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34399999999999997"/>
    <n v="9.2880000000000004E-2"/>
    <n v="0.34399999999999997"/>
    <n v="9.2880000000000004E-2"/>
    <m/>
    <n v="597.01"/>
    <n v="243.39"/>
    <m/>
    <n v="289.09759999999994"/>
    <n v="289.09759999999994"/>
    <n v="261.88031999999998"/>
    <n v="0"/>
    <n v="8.5599162480279745"/>
    <n v="0"/>
    <n v="0"/>
    <n v="0"/>
    <n v="40.313038569769134"/>
    <n v="141.05325251842106"/>
    <n v="83.725212211632737"/>
    <n v="0"/>
    <n v="0"/>
    <n v="0"/>
    <n v="0"/>
    <n v="0"/>
    <n v="3.4947272439420716"/>
    <m/>
    <n v="0.5906037685340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358649292323323"/>
    <n v="0"/>
    <n v="0"/>
    <n v="0"/>
    <n v="0"/>
    <n v="0"/>
    <m/>
    <m/>
    <m/>
    <m/>
    <m/>
    <m/>
    <n v="199.65815039999998"/>
    <m/>
    <m/>
    <n v="95.083861503956058"/>
    <m/>
    <m/>
    <m/>
    <m/>
    <m/>
    <m/>
    <m/>
    <m/>
    <m/>
    <m/>
    <m/>
    <m/>
    <n v="60.2928"/>
    <n v="-8.4266040000000118"/>
    <m/>
    <m/>
    <m/>
    <m/>
    <n v="-30.127519999999993"/>
    <n v="2.9102400000000026"/>
    <n v="31"/>
    <n v="5.1165951157332756"/>
    <n v="0"/>
    <n v="0"/>
    <n v="0"/>
    <n v="0"/>
    <n v="0"/>
    <n v="0"/>
    <n v="0"/>
    <n v="1.5113607390413364"/>
    <n v="0"/>
    <n v="0"/>
    <n v="3.8354441642579786"/>
    <n v="0"/>
    <n v="0"/>
    <n v="0"/>
    <n v="0.52033866491698966"/>
    <n v="0"/>
    <n v="-6.2426448186641892E-2"/>
    <m/>
    <n v="0"/>
    <n v="0"/>
    <n v="0"/>
    <n v="0"/>
    <n v="-1.9601758123164892E-2"/>
    <n v="-3.4788538019400628E-2"/>
    <n v="0"/>
    <n v="-0.63373170815380497"/>
    <m/>
    <m/>
    <m/>
    <n v="141.05325251842106"/>
    <n v="0"/>
    <n v="0"/>
    <n v="-30.127520000000004"/>
    <n v="2.9102400000000017"/>
    <n v="0"/>
    <n v="0"/>
    <n v="-32.332722265518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"/>
    <s v="Regular"/>
    <s v="Convencional"/>
    <s v="B1"/>
    <s v="Residencial"/>
    <s v="Residencial"/>
    <s v="Não se aplica"/>
    <s v="Não se aplica"/>
    <s v="Não se aplica"/>
    <s v="CATIVO"/>
    <x v="1"/>
    <n v="0"/>
    <n v="0"/>
    <n v="199.49600000000001"/>
    <n v="199.49600000000001"/>
    <n v="199.49600000000001"/>
    <n v="199.49600000000001"/>
    <m/>
    <n v="597.01"/>
    <n v="243.39"/>
    <m/>
    <n v="167656.43840000001"/>
    <n v="167656.43840000001"/>
    <n v="151872.31488000002"/>
    <n v="0"/>
    <n v="4964.1542203970612"/>
    <n v="0"/>
    <n v="0"/>
    <n v="0"/>
    <n v="23378.749832891466"/>
    <n v="81801.045536089921"/>
    <n v="48554.781788871769"/>
    <n v="0"/>
    <n v="0"/>
    <n v="0"/>
    <n v="0"/>
    <n v="0"/>
    <n v="2026.6979833065918"/>
    <m/>
    <n v="342.5089808356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87.2241256434127"/>
    <n v="0"/>
    <n v="44.07"/>
    <n v="203.53"/>
    <n v="1475.09"/>
    <n v="1979"/>
    <m/>
    <m/>
    <m/>
    <m/>
    <m/>
    <m/>
    <m/>
    <m/>
    <m/>
    <n v="55142.005914515183"/>
    <m/>
    <m/>
    <m/>
    <m/>
    <m/>
    <m/>
    <m/>
    <m/>
    <m/>
    <m/>
    <m/>
    <m/>
    <n v="151875.35999999999"/>
    <n v="-15781.108400000026"/>
    <m/>
    <m/>
    <m/>
    <m/>
    <n v="-17471.859679999998"/>
    <n v="1687.7361600000017"/>
    <n v="30"/>
    <n v="2967.2681953730353"/>
    <n v="0"/>
    <n v="0"/>
    <n v="0"/>
    <n v="0"/>
    <n v="0"/>
    <n v="0"/>
    <n v="0"/>
    <n v="876.48378487148148"/>
    <n v="0"/>
    <n v="0"/>
    <n v="2224.2900261418836"/>
    <n v="0"/>
    <n v="0"/>
    <n v="0"/>
    <n v="301.76012295430155"/>
    <n v="0"/>
    <n v="-36.202984614657908"/>
    <m/>
    <n v="0"/>
    <n v="0"/>
    <n v="0"/>
    <n v="0"/>
    <n v="-11.367652146915361"/>
    <n v="-20.174924943948724"/>
    <n v="0"/>
    <n v="-367.5201768891032"/>
    <m/>
    <m/>
    <m/>
    <n v="81801.045536089921"/>
    <n v="0"/>
    <n v="0"/>
    <n v="-17471.859679999994"/>
    <n v="1687.7361600000004"/>
    <n v="0"/>
    <n v="0"/>
    <n v="-18750.723142680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1.486"/>
    <n v="1.486"/>
    <n v="1.486"/>
    <n v="1.486"/>
    <m/>
    <n v="597.01"/>
    <n v="243.39"/>
    <m/>
    <n v="1248.8344"/>
    <n v="1248.8344"/>
    <n v="1131.26208"/>
    <n v="0"/>
    <n v="36.976847513283637"/>
    <n v="0"/>
    <n v="0"/>
    <n v="0"/>
    <n v="174.14295149615387"/>
    <n v="609.31724779759804"/>
    <n v="361.67344577466935"/>
    <n v="0"/>
    <n v="0"/>
    <n v="0"/>
    <n v="0"/>
    <n v="0"/>
    <n v="15.096408966563716"/>
    <m/>
    <n v="2.55127093035359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066723396489706"/>
    <n v="0"/>
    <n v="0"/>
    <n v="0"/>
    <n v="0"/>
    <n v="8"/>
    <m/>
    <m/>
    <m/>
    <m/>
    <m/>
    <m/>
    <m/>
    <m/>
    <m/>
    <n v="410.74016917115904"/>
    <m/>
    <m/>
    <m/>
    <m/>
    <m/>
    <m/>
    <m/>
    <m/>
    <m/>
    <m/>
    <m/>
    <m/>
    <n v="1134.3072"/>
    <n v="-114.55719999999997"/>
    <m/>
    <m/>
    <m/>
    <m/>
    <n v="-130.14387999999997"/>
    <n v="12.571560000000012"/>
    <n v="30"/>
    <n v="22.102500994127126"/>
    <n v="0"/>
    <n v="0"/>
    <n v="0"/>
    <n v="0"/>
    <n v="0"/>
    <n v="0"/>
    <n v="0"/>
    <n v="6.5287269134169605"/>
    <n v="0"/>
    <n v="0"/>
    <n v="16.568226825835325"/>
    <n v="0"/>
    <n v="0"/>
    <n v="0"/>
    <n v="2.247742023449554"/>
    <n v="0"/>
    <n v="-0.26966773838763913"/>
    <m/>
    <n v="0"/>
    <n v="0"/>
    <n v="0"/>
    <n v="0"/>
    <n v="-8.4675036543670146E-2"/>
    <n v="-0.15027839388613229"/>
    <n v="0"/>
    <n v="-2.7375735997574253"/>
    <m/>
    <m/>
    <m/>
    <n v="609.31724779759804"/>
    <n v="0"/>
    <n v="0"/>
    <n v="-130.14387999999997"/>
    <n v="12.571560000000034"/>
    <n v="0"/>
    <n v="0"/>
    <n v="-139.66984094930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1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59.97"/>
    <n v="59.97"/>
    <n v="59.97"/>
    <n v="59.97"/>
    <m/>
    <n v="561.96"/>
    <n v="243.39"/>
    <m/>
    <n v="48296.839500000002"/>
    <n v="48296.839500000002"/>
    <n v="43563.407399999996"/>
    <n v="0"/>
    <n v="0"/>
    <n v="0"/>
    <n v="0"/>
    <n v="0"/>
    <n v="7027.8282646193456"/>
    <n v="24590.010330028232"/>
    <n v="14595.933070731442"/>
    <n v="0"/>
    <n v="0"/>
    <n v="0"/>
    <n v="0"/>
    <n v="0"/>
    <n v="0"/>
    <m/>
    <n v="102.96077906682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0.1691804088073"/>
    <n v="0"/>
    <n v="0"/>
    <n v="0"/>
    <n v="0"/>
    <n v="145"/>
    <m/>
    <m/>
    <m/>
    <m/>
    <m/>
    <m/>
    <m/>
    <n v="28316.034900000002"/>
    <m/>
    <n v="16576.102251140248"/>
    <m/>
    <m/>
    <m/>
    <m/>
    <m/>
    <m/>
    <m/>
    <m/>
    <m/>
    <m/>
    <m/>
    <m/>
    <n v="15247.372500000001"/>
    <n v="-1657.0010999999977"/>
    <m/>
    <m/>
    <m/>
    <m/>
    <n v="-5240.7783000000027"/>
    <n v="507.34620000000047"/>
    <n v="30"/>
    <n v="903.31646611042379"/>
    <n v="0"/>
    <n v="0"/>
    <n v="0"/>
    <n v="0"/>
    <n v="0"/>
    <n v="0"/>
    <n v="0"/>
    <n v="263.47762651252651"/>
    <n v="0"/>
    <n v="0"/>
    <n v="668.63833293764583"/>
    <n v="0"/>
    <n v="0"/>
    <n v="0"/>
    <n v="90.711365508929703"/>
    <n v="0"/>
    <n v="0"/>
    <m/>
    <n v="0"/>
    <n v="0"/>
    <n v="0"/>
    <n v="0"/>
    <n v="0"/>
    <n v="-6.0647343750681983"/>
    <n v="0"/>
    <n v="-113.44612447361182"/>
    <m/>
    <m/>
    <m/>
    <n v="24590.010330028232"/>
    <n v="0"/>
    <n v="0"/>
    <n v="-5240.7783000000054"/>
    <n v="507.34619999999995"/>
    <n v="0"/>
    <n v="0"/>
    <n v="-5636.6085879743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89.388000000000005"/>
    <n v="89.388000000000005"/>
    <n v="89.388000000000005"/>
    <n v="89.388000000000005"/>
    <m/>
    <n v="561.96"/>
    <n v="243.39"/>
    <m/>
    <n v="71988.625800000009"/>
    <n v="71988.625800000009"/>
    <n v="64933.230960000001"/>
    <n v="0"/>
    <n v="0"/>
    <n v="0"/>
    <n v="0"/>
    <n v="0"/>
    <n v="10475.296196728266"/>
    <n v="36652.523651501811"/>
    <n v="21755.89903829485"/>
    <n v="0"/>
    <n v="0"/>
    <n v="0"/>
    <n v="0"/>
    <n v="0"/>
    <n v="0"/>
    <m/>
    <n v="153.46770250501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1.5318108784809"/>
    <n v="0"/>
    <n v="0"/>
    <n v="0"/>
    <n v="0"/>
    <n v="1243"/>
    <m/>
    <m/>
    <m/>
    <m/>
    <m/>
    <m/>
    <m/>
    <n v="25973.471160000001"/>
    <m/>
    <n v="24707.430849173332"/>
    <m/>
    <m/>
    <m/>
    <m/>
    <m/>
    <m/>
    <m/>
    <m/>
    <m/>
    <m/>
    <m/>
    <m/>
    <n v="38960.631500000003"/>
    <n v="-4232.573980000001"/>
    <m/>
    <m/>
    <m/>
    <m/>
    <n v="-7811.6173200000039"/>
    <n v="756.2224800000007"/>
    <n v="30"/>
    <n v="1346.4340882554316"/>
    <n v="0"/>
    <n v="0"/>
    <n v="0"/>
    <n v="0"/>
    <n v="0"/>
    <n v="0"/>
    <n v="0"/>
    <n v="392.72533064368326"/>
    <n v="0"/>
    <n v="0"/>
    <n v="996.63570626363799"/>
    <n v="0"/>
    <n v="0"/>
    <n v="0"/>
    <n v="135.20939703372051"/>
    <n v="0"/>
    <n v="0"/>
    <m/>
    <n v="0"/>
    <n v="0"/>
    <n v="0"/>
    <n v="0"/>
    <n v="0"/>
    <n v="-9.0397611525528703"/>
    <n v="0"/>
    <n v="-169.09658453305343"/>
    <m/>
    <m/>
    <m/>
    <n v="36652.523651501811"/>
    <n v="0"/>
    <n v="0"/>
    <n v="-7811.6173200000048"/>
    <n v="756.22248000000036"/>
    <n v="0"/>
    <n v="0"/>
    <n v="-8401.620284506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25.992000000000001"/>
    <n v="25.992000000000001"/>
    <n v="25.992000000000001"/>
    <n v="25.992000000000001"/>
    <m/>
    <n v="561.96"/>
    <n v="243.39"/>
    <m/>
    <n v="20932.657200000001"/>
    <n v="20932.657200000001"/>
    <n v="18881.108640000002"/>
    <n v="0"/>
    <n v="0"/>
    <n v="0"/>
    <n v="0"/>
    <n v="0"/>
    <n v="3045.9781933297659"/>
    <n v="10657.72133563605"/>
    <n v="6326.1212668742983"/>
    <n v="0"/>
    <n v="0"/>
    <n v="0"/>
    <n v="0"/>
    <n v="0"/>
    <n v="0"/>
    <m/>
    <n v="44.6249219527259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8.23840815717404"/>
    <n v="0"/>
    <n v="0"/>
    <n v="0"/>
    <n v="0"/>
    <n v="560"/>
    <m/>
    <m/>
    <m/>
    <m/>
    <m/>
    <m/>
    <m/>
    <n v="1888.0588799999998"/>
    <m/>
    <n v="7184.3596750314719"/>
    <m/>
    <m/>
    <m/>
    <m/>
    <m/>
    <m/>
    <m/>
    <m/>
    <m/>
    <m/>
    <m/>
    <m/>
    <n v="16991.742199999997"/>
    <n v="-1847.8092400000023"/>
    <m/>
    <m/>
    <m/>
    <m/>
    <n v="-2271.440880000001"/>
    <n v="219.89232000000021"/>
    <n v="30"/>
    <n v="391.51244934370698"/>
    <n v="0"/>
    <n v="0"/>
    <n v="0"/>
    <n v="0"/>
    <n v="0"/>
    <n v="0"/>
    <n v="0"/>
    <n v="114.19560560803029"/>
    <n v="0"/>
    <n v="0"/>
    <n v="289.79902534125904"/>
    <n v="0"/>
    <n v="0"/>
    <n v="0"/>
    <n v="39.315821449192981"/>
    <n v="0"/>
    <n v="0"/>
    <m/>
    <n v="0"/>
    <n v="0"/>
    <n v="0"/>
    <n v="0"/>
    <n v="0"/>
    <n v="-2.6285572098844838"/>
    <n v="0"/>
    <n v="-49.169445844891086"/>
    <m/>
    <m/>
    <m/>
    <n v="10657.72133563605"/>
    <n v="0"/>
    <n v="0"/>
    <n v="-2271.4408800000001"/>
    <n v="219.89232000000084"/>
    <n v="0"/>
    <n v="0"/>
    <n v="-2443.000340480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4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5.9880000000000004"/>
    <n v="5.9880000000000004"/>
    <n v="5.9880000000000004"/>
    <n v="5.9880000000000004"/>
    <m/>
    <n v="561.96"/>
    <n v="243.39"/>
    <m/>
    <n v="4822.4358000000011"/>
    <n v="4822.4358000000011"/>
    <n v="4349.80296"/>
    <n v="0"/>
    <n v="0"/>
    <n v="0"/>
    <n v="0"/>
    <n v="0"/>
    <n v="701.72812487144654"/>
    <n v="2455.3106862799577"/>
    <n v="1457.4028218699329"/>
    <n v="0"/>
    <n v="0"/>
    <n v="0"/>
    <n v="0"/>
    <n v="0"/>
    <n v="0"/>
    <m/>
    <n v="10.2806260639013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.7197440768374"/>
    <n v="0"/>
    <n v="46.16"/>
    <n v="212.67"/>
    <n v="945.99"/>
    <n v="51"/>
    <m/>
    <m/>
    <m/>
    <m/>
    <m/>
    <m/>
    <m/>
    <m/>
    <m/>
    <n v="1655.1225659467705"/>
    <m/>
    <m/>
    <m/>
    <m/>
    <m/>
    <m/>
    <m/>
    <m/>
    <m/>
    <m/>
    <m/>
    <m/>
    <n v="4351.2557999999999"/>
    <n v="-471.21000000000186"/>
    <m/>
    <m/>
    <m/>
    <m/>
    <n v="-523.29132000000027"/>
    <n v="50.658480000000054"/>
    <n v="30"/>
    <n v="90.196081358499214"/>
    <n v="0"/>
    <n v="0"/>
    <n v="0"/>
    <n v="0"/>
    <n v="0"/>
    <n v="0"/>
    <n v="0"/>
    <n v="26.308221236568329"/>
    <n v="0"/>
    <n v="0"/>
    <n v="66.763487370862549"/>
    <n v="0"/>
    <n v="0"/>
    <n v="0"/>
    <n v="9.0575230393108654"/>
    <n v="0"/>
    <n v="0"/>
    <m/>
    <n v="0"/>
    <n v="0"/>
    <n v="0"/>
    <n v="0"/>
    <n v="0"/>
    <n v="-0.60556327226793982"/>
    <n v="0"/>
    <n v="-11.327587015974448"/>
    <m/>
    <m/>
    <m/>
    <n v="2455.3106862799577"/>
    <n v="0"/>
    <n v="0"/>
    <n v="-523.29132000000072"/>
    <n v="50.658480000000054"/>
    <n v="0"/>
    <n v="0"/>
    <n v="-562.81494455211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"/>
    <s v="Regular"/>
    <s v="Convencional"/>
    <s v="B3"/>
    <s v="Industrial"/>
    <s v="Não se aplica"/>
    <s v="Não se aplica"/>
    <s v="Não se aplica"/>
    <s v="Não se aplica"/>
    <s v="CATIVO"/>
    <x v="1"/>
    <n v="0"/>
    <n v="0"/>
    <n v="0.36299999999999999"/>
    <n v="0.36299999999999999"/>
    <n v="0.36299999999999999"/>
    <n v="0.36299999999999999"/>
    <m/>
    <n v="597.01"/>
    <n v="243.39"/>
    <m/>
    <n v="305.0652"/>
    <n v="305.0652"/>
    <n v="276.34464000000003"/>
    <n v="0"/>
    <n v="9.0327023198667291"/>
    <n v="0"/>
    <n v="0"/>
    <n v="0"/>
    <n v="42.539630816355221"/>
    <n v="148.84398448891525"/>
    <n v="88.349569862856654"/>
    <n v="0"/>
    <n v="0"/>
    <n v="0"/>
    <n v="0"/>
    <n v="0"/>
    <n v="3.6877499696249187"/>
    <m/>
    <n v="0.623224325517063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986016549748159"/>
    <n v="0"/>
    <n v="0"/>
    <n v="0"/>
    <n v="0"/>
    <n v="3"/>
    <m/>
    <m/>
    <m/>
    <m/>
    <m/>
    <m/>
    <m/>
    <m/>
    <m/>
    <n v="100.33558641260481"/>
    <m/>
    <m/>
    <m/>
    <m/>
    <m/>
    <m/>
    <m/>
    <m/>
    <m/>
    <m/>
    <m/>
    <m/>
    <n v="274.06079999999997"/>
    <n v="-31.034400000000005"/>
    <m/>
    <m/>
    <m/>
    <m/>
    <n v="-31.791539999999994"/>
    <n v="3.0709800000000027"/>
    <n v="30"/>
    <n v="5.3991977529394717"/>
    <n v="0"/>
    <n v="0"/>
    <n v="0"/>
    <n v="0"/>
    <n v="0"/>
    <n v="0"/>
    <n v="0"/>
    <n v="1.5948370589302456"/>
    <n v="0"/>
    <n v="0"/>
    <n v="4.047285557051282"/>
    <n v="0"/>
    <n v="0"/>
    <n v="0"/>
    <n v="0.54907830047926431"/>
    <n v="0"/>
    <n v="-6.587442061555393E-2"/>
    <m/>
    <n v="0"/>
    <n v="0"/>
    <n v="0"/>
    <n v="0"/>
    <n v="-2.0684413368339705E-2"/>
    <n v="-3.6709997968146668E-2"/>
    <n v="0"/>
    <n v="-0.66873433156927675"/>
    <m/>
    <m/>
    <m/>
    <n v="148.84398448891525"/>
    <n v="0"/>
    <n v="0"/>
    <n v="-31.791539999999998"/>
    <n v="3.0709800000000058"/>
    <n v="0"/>
    <n v="0"/>
    <n v="-34.118541227858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6"/>
    <s v="Regular"/>
    <s v="Verde"/>
    <s v="A4"/>
    <s v="Industrial"/>
    <s v="Não se aplica"/>
    <s v="Não se aplica"/>
    <s v="Não se aplica"/>
    <s v="Ponta"/>
    <s v="CATIVO"/>
    <x v="1"/>
    <n v="0"/>
    <n v="0"/>
    <n v="0.17599999999999999"/>
    <n v="0.17599999999999999"/>
    <n v="0.17599999999999999"/>
    <n v="0.17599999999999999"/>
    <m/>
    <n v="2773.91"/>
    <n v="243.39"/>
    <m/>
    <n v="531.04480000000001"/>
    <n v="531.04480000000001"/>
    <n v="457.13711999999998"/>
    <n v="0"/>
    <n v="3.8101580694710542"/>
    <n v="0"/>
    <n v="0"/>
    <n v="0"/>
    <n v="126.80932339086246"/>
    <n v="353.01123436431953"/>
    <n v="42.836155085021403"/>
    <n v="0"/>
    <n v="0"/>
    <n v="0"/>
    <n v="0"/>
    <n v="0"/>
    <n v="1.7879999852726878"/>
    <m/>
    <n v="0.12208741974797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680066918799006"/>
    <n v="0"/>
    <n v="0"/>
    <n v="0"/>
    <n v="0"/>
    <n v="0"/>
    <m/>
    <m/>
    <m/>
    <m/>
    <m/>
    <m/>
    <m/>
    <m/>
    <m/>
    <n v="45.504161776901306"/>
    <m/>
    <m/>
    <m/>
    <m/>
    <m/>
    <m/>
    <m/>
    <m/>
    <m/>
    <m/>
    <m/>
    <m/>
    <n v="467.52660000000003"/>
    <n v="-63.548199999999952"/>
    <m/>
    <m/>
    <m/>
    <m/>
    <n v="-75.396639999999977"/>
    <n v="1.4889600000000014"/>
    <n v="30"/>
    <n v="7.0103502032868334"/>
    <n v="0"/>
    <n v="0"/>
    <n v="0"/>
    <n v="0"/>
    <n v="0"/>
    <n v="0"/>
    <n v="0"/>
    <n v="4.7541599322917989"/>
    <n v="0"/>
    <n v="0"/>
    <n v="1.9623202700854705"/>
    <n v="0"/>
    <n v="0"/>
    <n v="0"/>
    <n v="0.12222113777038857"/>
    <n v="0"/>
    <n v="-2.7787028332377339E-2"/>
    <m/>
    <n v="0"/>
    <n v="0"/>
    <n v="0"/>
    <n v="0"/>
    <n v="-1.002880648161919E-2"/>
    <n v="-7.1913575054470963E-3"/>
    <n v="0"/>
    <n v="0.21665605545860855"/>
    <m/>
    <m/>
    <m/>
    <n v="353.01123436431953"/>
    <n v="0"/>
    <n v="0"/>
    <n v="-75.396639999999991"/>
    <n v="1.4889599999999987"/>
    <n v="0"/>
    <n v="0"/>
    <n v="-80.918475777925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7"/>
    <s v="Regular"/>
    <s v="Verde"/>
    <s v="A4"/>
    <s v="Industrial"/>
    <s v="Não se aplica"/>
    <s v="Não se aplica"/>
    <s v="Não se aplica"/>
    <s v="Fora ponta"/>
    <s v="CATIVO"/>
    <x v="1"/>
    <n v="0"/>
    <n v="0"/>
    <n v="22.076000000000001"/>
    <n v="22.076000000000001"/>
    <n v="22.076000000000001"/>
    <n v="22.076000000000001"/>
    <m/>
    <n v="47.66"/>
    <n v="243.39"/>
    <m/>
    <n v="6425.2197999999989"/>
    <n v="6425.2197999999989"/>
    <n v="6623.2415200000005"/>
    <n v="0"/>
    <n v="477.91505421388069"/>
    <n v="0"/>
    <n v="0"/>
    <n v="0"/>
    <n v="0"/>
    <n v="0"/>
    <n v="5373.0168162325717"/>
    <n v="0"/>
    <n v="0"/>
    <n v="0"/>
    <n v="0"/>
    <n v="0"/>
    <n v="224.27208906181738"/>
    <m/>
    <n v="15.3136470361147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4.65293028375396"/>
    <n v="0"/>
    <n v="0"/>
    <n v="0"/>
    <n v="0"/>
    <n v="0"/>
    <m/>
    <m/>
    <m/>
    <m/>
    <m/>
    <m/>
    <m/>
    <m/>
    <m/>
    <n v="5707.6697465163261"/>
    <m/>
    <m/>
    <m/>
    <m/>
    <m/>
    <m/>
    <m/>
    <m/>
    <m/>
    <m/>
    <m/>
    <m/>
    <n v="6624.4415999999992"/>
    <n v="199.1917999999996"/>
    <m/>
    <m/>
    <m/>
    <m/>
    <n v="11.258760000000112"/>
    <n v="186.76296000000019"/>
    <n v="30"/>
    <n v="198.03235176110138"/>
    <n v="0"/>
    <n v="0"/>
    <n v="0"/>
    <n v="0"/>
    <n v="0"/>
    <n v="0"/>
    <n v="0"/>
    <n v="0"/>
    <n v="0"/>
    <n v="0"/>
    <n v="246.13739933185752"/>
    <n v="0"/>
    <n v="0"/>
    <n v="0"/>
    <n v="15.330419530790323"/>
    <n v="0"/>
    <n v="-3.4853774855998267"/>
    <m/>
    <n v="0"/>
    <n v="0"/>
    <n v="0"/>
    <n v="0"/>
    <n v="-1.2579314311830956"/>
    <n v="-0.90202504710369347"/>
    <n v="0"/>
    <n v="-57.790133137659787"/>
    <m/>
    <m/>
    <m/>
    <n v="0"/>
    <n v="0"/>
    <n v="0"/>
    <n v="11.258760000000166"/>
    <n v="186.76296000000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8"/>
    <s v="Regular"/>
    <s v="Verde"/>
    <s v="A4"/>
    <s v="Industrial"/>
    <s v="Não se aplica"/>
    <s v="Não se aplica"/>
    <s v="Não se aplica"/>
    <s v="Não se aplica"/>
    <s v="CATIVO"/>
    <x v="1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n v="30"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39"/>
    <s v="Regular"/>
    <s v="Convencional"/>
    <s v="B3"/>
    <s v="Comercial"/>
    <s v="Não se aplica"/>
    <s v="Não se aplica"/>
    <s v="Não se aplica"/>
    <s v="Não se aplica"/>
    <s v="CATIVO"/>
    <x v="1"/>
    <n v="0"/>
    <n v="0"/>
    <n v="54.484000000000002"/>
    <n v="54.484000000000002"/>
    <n v="54.484000000000002"/>
    <n v="54.484000000000002"/>
    <m/>
    <n v="597.01"/>
    <n v="243.39"/>
    <m/>
    <n v="45788.353600000002"/>
    <n v="45788.353600000002"/>
    <n v="41477.579519999999"/>
    <n v="0"/>
    <n v="1355.7513862138262"/>
    <n v="0"/>
    <n v="0"/>
    <n v="0"/>
    <n v="6384.9290506840161"/>
    <n v="22340.538983179227"/>
    <n v="13260.71064575174"/>
    <n v="0"/>
    <n v="0"/>
    <n v="0"/>
    <n v="0"/>
    <n v="0"/>
    <n v="553.50790453180184"/>
    <m/>
    <n v="93.542022455844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9.0251396597209"/>
    <n v="0"/>
    <n v="57.23"/>
    <n v="264.11"/>
    <n v="3334.25"/>
    <n v="210"/>
    <m/>
    <m/>
    <m/>
    <m/>
    <m/>
    <m/>
    <m/>
    <m/>
    <m/>
    <n v="15059.735785411462"/>
    <m/>
    <m/>
    <m/>
    <m/>
    <m/>
    <m/>
    <m/>
    <m/>
    <m/>
    <m/>
    <m/>
    <m/>
    <n v="41474.534399999997"/>
    <n v="-4313.8491999999969"/>
    <m/>
    <m/>
    <m/>
    <m/>
    <n v="-4771.7087199999996"/>
    <n v="460.93464000000046"/>
    <n v="30"/>
    <n v="810.3853729232942"/>
    <n v="0"/>
    <n v="0"/>
    <n v="0"/>
    <n v="0"/>
    <n v="0"/>
    <n v="0"/>
    <n v="0"/>
    <n v="239.37493751723377"/>
    <n v="0"/>
    <n v="0"/>
    <n v="607.4719181553246"/>
    <n v="0"/>
    <n v="0"/>
    <n v="0"/>
    <n v="82.413173893422254"/>
    <n v="0"/>
    <n v="-9.8873331482586764"/>
    <m/>
    <n v="0"/>
    <n v="0"/>
    <n v="0"/>
    <n v="0"/>
    <n v="-3.1045993883211622"/>
    <n v="-5.5099380972355476"/>
    <n v="0"/>
    <n v="-100.37278600887183"/>
    <m/>
    <m/>
    <m/>
    <n v="22340.538983179227"/>
    <n v="0"/>
    <n v="0"/>
    <n v="-4771.7087199999987"/>
    <n v="460.93464000000131"/>
    <n v="0"/>
    <n v="0"/>
    <n v="-5120.9768602166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0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4.8170000000000002"/>
    <n v="4.8170000000000002"/>
    <n v="4.8170000000000002"/>
    <n v="4.8170000000000002"/>
    <m/>
    <n v="597.01"/>
    <n v="243.39"/>
    <m/>
    <n v="4048.2067999999999"/>
    <n v="4048.2067999999999"/>
    <n v="3667.0857600000004"/>
    <n v="0"/>
    <n v="119.86371094985685"/>
    <n v="0"/>
    <n v="0"/>
    <n v="0"/>
    <n v="564.49972904237768"/>
    <n v="1975.1555737826579"/>
    <n v="1172.3963582076599"/>
    <n v="0"/>
    <n v="0"/>
    <n v="0"/>
    <n v="0"/>
    <n v="0"/>
    <n v="48.936340506014417"/>
    <m/>
    <n v="8.27016963089723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.05410942186469"/>
    <n v="0"/>
    <n v="0"/>
    <n v="0"/>
    <n v="0"/>
    <n v="6"/>
    <m/>
    <m/>
    <m/>
    <m/>
    <m/>
    <m/>
    <m/>
    <m/>
    <m/>
    <n v="1331.4504676295246"/>
    <m/>
    <m/>
    <m/>
    <m/>
    <m/>
    <m/>
    <m/>
    <m/>
    <m/>
    <m/>
    <m/>
    <m/>
    <n v="3669.3696"/>
    <n v="-378.86720000000059"/>
    <m/>
    <m/>
    <m/>
    <m/>
    <n v="-421.87285999999995"/>
    <n v="40.751820000000038"/>
    <n v="30"/>
    <n v="71.647205443276562"/>
    <n v="0"/>
    <n v="0"/>
    <n v="0"/>
    <n v="0"/>
    <n v="0"/>
    <n v="0"/>
    <n v="0"/>
    <n v="21.16344383709918"/>
    <n v="0"/>
    <n v="0"/>
    <n v="53.707367846600619"/>
    <n v="0"/>
    <n v="0"/>
    <n v="0"/>
    <n v="7.2862539212358683"/>
    <n v="0"/>
    <n v="-0.87415174684606711"/>
    <m/>
    <n v="0"/>
    <n v="0"/>
    <n v="0"/>
    <n v="0"/>
    <n v="-0.27448159557931717"/>
    <n v="-0.48714066174259596"/>
    <n v="0"/>
    <n v="-8.8740861574909253"/>
    <m/>
    <m/>
    <m/>
    <n v="1975.1555737826579"/>
    <n v="0"/>
    <n v="0"/>
    <n v="-421.87285999999995"/>
    <n v="40.75182000000018"/>
    <n v="0"/>
    <n v="0"/>
    <n v="-452.75210218896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1"/>
    <s v="Regular"/>
    <s v="Branca"/>
    <s v="B3"/>
    <s v="Comercial"/>
    <s v="Não se aplica"/>
    <s v="Não se aplica"/>
    <s v="Não se aplica"/>
    <s v="Ponta"/>
    <s v="CATIVO"/>
    <x v="1"/>
    <n v="0"/>
    <n v="0"/>
    <n v="1.2E-2"/>
    <n v="1.2E-2"/>
    <n v="1.2E-2"/>
    <n v="1.2E-2"/>
    <m/>
    <n v="1783.27"/>
    <n v="243.39"/>
    <m/>
    <n v="24.31992"/>
    <n v="24.31992"/>
    <n v="20.971440000000001"/>
    <n v="0"/>
    <n v="0.29860172958237119"/>
    <n v="0"/>
    <n v="0"/>
    <n v="0"/>
    <n v="4.5703759872473402"/>
    <n v="15.9915089353344"/>
    <n v="2.9206469376150959"/>
    <n v="0"/>
    <n v="0"/>
    <n v="0"/>
    <n v="0"/>
    <n v="0"/>
    <n v="0.121909089904956"/>
    <m/>
    <n v="2.06024570418863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9623195205779038"/>
    <n v="0"/>
    <n v="0"/>
    <n v="0"/>
    <n v="0"/>
    <n v="0"/>
    <m/>
    <m/>
    <m/>
    <m/>
    <m/>
    <m/>
    <m/>
    <m/>
    <m/>
    <n v="3.3168788896728865"/>
    <m/>
    <m/>
    <m/>
    <m/>
    <m/>
    <m/>
    <m/>
    <m/>
    <m/>
    <m/>
    <m/>
    <m/>
    <n v="17.476200000000002"/>
    <n v="-6.8737200000000023"/>
    <m/>
    <m/>
    <m/>
    <m/>
    <n v="-3.45"/>
    <n v="0.1015200000000001"/>
    <n v="30"/>
    <n v="0.31720665516410662"/>
    <n v="0"/>
    <n v="0"/>
    <n v="0"/>
    <n v="0"/>
    <n v="0"/>
    <n v="0"/>
    <n v="0"/>
    <n v="0.17134622134293576"/>
    <n v="0"/>
    <n v="0"/>
    <n v="0.13379456386946398"/>
    <n v="0"/>
    <n v="0"/>
    <n v="0"/>
    <n v="1.8151348776174026E-2"/>
    <n v="0"/>
    <n v="-2.1776667972083774E-3"/>
    <m/>
    <n v="0"/>
    <n v="0"/>
    <n v="0"/>
    <n v="0"/>
    <n v="-6.8378226011039933E-4"/>
    <n v="-1.2135536518395572E-3"/>
    <n v="0"/>
    <n v="-2.0104761153067197E-3"/>
    <m/>
    <m/>
    <m/>
    <n v="15.9915089353344"/>
    <n v="0"/>
    <n v="0"/>
    <n v="-3.4499999999999993"/>
    <n v="0.10151999999999983"/>
    <n v="0"/>
    <n v="0"/>
    <n v="-3.66562987936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2"/>
    <s v="Regular"/>
    <s v="Branca"/>
    <s v="B3"/>
    <s v="Comercial"/>
    <s v="Não se aplica"/>
    <s v="Não se aplica"/>
    <s v="Não se aplica"/>
    <s v="Fora ponta"/>
    <s v="CATIVO"/>
    <x v="1"/>
    <n v="0"/>
    <n v="0"/>
    <n v="0.25700000000000001"/>
    <n v="0.25700000000000001"/>
    <n v="0.25700000000000001"/>
    <n v="0.25700000000000001"/>
    <m/>
    <n v="412.48"/>
    <n v="243.39"/>
    <m/>
    <n v="168.55859000000001"/>
    <n v="168.55859000000001"/>
    <n v="156.21744999999999"/>
    <n v="0"/>
    <n v="6.3950537085557837"/>
    <n v="0"/>
    <n v="0"/>
    <n v="0"/>
    <n v="19.576752897863621"/>
    <n v="68.496992189239606"/>
    <n v="62.550521913923305"/>
    <n v="0"/>
    <n v="0"/>
    <n v="0"/>
    <n v="0"/>
    <n v="0"/>
    <n v="2.610886342131141"/>
    <m/>
    <n v="0.44123595498040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4859676399043433"/>
    <n v="0"/>
    <n v="0"/>
    <n v="0"/>
    <n v="0"/>
    <n v="0"/>
    <m/>
    <m/>
    <m/>
    <m/>
    <m/>
    <m/>
    <m/>
    <m/>
    <m/>
    <n v="71.03648955382765"/>
    <m/>
    <m/>
    <m/>
    <m/>
    <m/>
    <m/>
    <m/>
    <m/>
    <m/>
    <m/>
    <m/>
    <m/>
    <n v="158.041"/>
    <n v="-10.547590000000014"/>
    <m/>
    <m/>
    <m/>
    <m/>
    <n v="-14.515360000000005"/>
    <n v="2.1742200000000023"/>
    <n v="30"/>
    <n v="3.3604396612770273"/>
    <n v="0"/>
    <n v="0"/>
    <n v="0"/>
    <n v="0"/>
    <n v="0"/>
    <n v="0"/>
    <n v="0"/>
    <n v="0.73394456923744755"/>
    <n v="0"/>
    <n v="0"/>
    <n v="2.865433576204353"/>
    <n v="0"/>
    <n v="0"/>
    <n v="0"/>
    <n v="0.38874138628972865"/>
    <n v="0"/>
    <n v="-4.6638363906879476E-2"/>
    <m/>
    <n v="0"/>
    <n v="0"/>
    <n v="0"/>
    <n v="0"/>
    <n v="-1.4644336737364316E-2"/>
    <n v="-2.599027404356391E-2"/>
    <n v="0"/>
    <n v="-0.540406895766675"/>
    <m/>
    <m/>
    <m/>
    <n v="68.496992189239606"/>
    <n v="0"/>
    <n v="0"/>
    <n v="-14.515360000000001"/>
    <n v="2.1742199999999983"/>
    <n v="0"/>
    <n v="0"/>
    <n v="-15.701121278212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3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44"/>
    <s v="Regular"/>
    <s v="Branca"/>
    <s v="B3"/>
    <s v="Comercial"/>
    <s v="Não se aplica"/>
    <s v="Não se aplica"/>
    <s v="Não se aplica"/>
    <s v="Intermediário"/>
    <s v="CATIVO"/>
    <x v="1"/>
    <n v="0"/>
    <n v="0"/>
    <n v="8.9999999999999993E-3"/>
    <n v="8.9999999999999993E-3"/>
    <n v="8.9999999999999993E-3"/>
    <n v="8.9999999999999993E-3"/>
    <m/>
    <n v="1097.8699999999999"/>
    <n v="243.39"/>
    <m/>
    <n v="12.071339999999998"/>
    <n v="12.071339999999998"/>
    <n v="10.59957"/>
    <n v="0"/>
    <n v="0.22395129718677839"/>
    <n v="0"/>
    <n v="0"/>
    <n v="0"/>
    <n v="2.0566850139785608"/>
    <n v="7.1961778394983442"/>
    <n v="2.1904852032113218"/>
    <n v="0"/>
    <n v="0"/>
    <n v="0"/>
    <n v="0"/>
    <n v="0"/>
    <n v="9.1431817428716991E-2"/>
    <m/>
    <n v="1.54518427814147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9717396404334279"/>
    <n v="0"/>
    <n v="0"/>
    <n v="0"/>
    <n v="0"/>
    <n v="0"/>
    <m/>
    <m/>
    <m/>
    <m/>
    <m/>
    <m/>
    <m/>
    <m/>
    <m/>
    <n v="2.4876591672546646"/>
    <m/>
    <m/>
    <m/>
    <m/>
    <m/>
    <m/>
    <m/>
    <m/>
    <m/>
    <m/>
    <m/>
    <m/>
    <n v="11.7773"/>
    <n v="-0.32403999999999655"/>
    <m/>
    <m/>
    <m/>
    <m/>
    <n v="-1.547909999999999"/>
    <n v="7.6140000000000069E-2"/>
    <n v="30"/>
    <n v="0.17779328136251582"/>
    <n v="0"/>
    <n v="0"/>
    <n v="0"/>
    <n v="0"/>
    <n v="0"/>
    <n v="0"/>
    <n v="0"/>
    <n v="7.7106392695304837E-2"/>
    <n v="0"/>
    <n v="0"/>
    <n v="0.10034592290209776"/>
    <n v="0"/>
    <n v="0"/>
    <n v="0"/>
    <n v="1.3613511582130533E-2"/>
    <n v="0"/>
    <n v="-1.6332500979062969E-3"/>
    <m/>
    <n v="0"/>
    <n v="0"/>
    <n v="0"/>
    <n v="0"/>
    <n v="-5.128366950827995E-4"/>
    <n v="-9.1016523887966876E-4"/>
    <n v="0"/>
    <n v="-1.0216293785148147E-2"/>
    <m/>
    <m/>
    <m/>
    <n v="7.1961778394983442"/>
    <n v="0"/>
    <n v="0"/>
    <n v="-1.5479099999999981"/>
    <n v="7.6140000000000096E-2"/>
    <n v="0"/>
    <n v="0"/>
    <n v="-1.6495331749077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5"/>
    <s v="Regular"/>
    <s v="Convencional"/>
    <s v="B2"/>
    <s v="Rural"/>
    <s v="Não se aplica"/>
    <s v="Não se aplica"/>
    <s v="Não se aplica"/>
    <s v="Não se aplica"/>
    <s v="CATIVO"/>
    <x v="1"/>
    <n v="0"/>
    <n v="0"/>
    <n v="202.642"/>
    <n v="202.642"/>
    <n v="202.642"/>
    <n v="202.642"/>
    <m/>
    <n v="597.01"/>
    <n v="243.39"/>
    <m/>
    <n v="170300.33679999999"/>
    <n v="170300.33679999999"/>
    <n v="154267.30176"/>
    <n v="0"/>
    <n v="5042.4376405025723"/>
    <n v="0"/>
    <n v="0"/>
    <n v="0"/>
    <n v="23747.426633299874"/>
    <n v="83091.026734993851"/>
    <n v="49320.478061016518"/>
    <n v="0"/>
    <n v="0"/>
    <n v="0"/>
    <n v="0"/>
    <n v="0"/>
    <n v="2058.6584830433408"/>
    <m/>
    <n v="347.910258323495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91.1029357412299"/>
    <n v="0"/>
    <n v="101.81"/>
    <n v="469.7"/>
    <n v="0"/>
    <n v="1812"/>
    <m/>
    <m/>
    <m/>
    <m/>
    <m/>
    <n v="18513.373119999997"/>
    <m/>
    <m/>
    <m/>
    <n v="56011.580996757752"/>
    <m/>
    <m/>
    <m/>
    <m/>
    <m/>
    <m/>
    <m/>
    <m/>
    <m/>
    <m/>
    <m/>
    <m/>
    <n v="135752.5888"/>
    <n v="-14111.33229999998"/>
    <m/>
    <m/>
    <m/>
    <m/>
    <n v="-17747.386359999997"/>
    <n v="1714.3513200000016"/>
    <n v="30"/>
    <n v="3014.0612425651925"/>
    <n v="0"/>
    <n v="0"/>
    <n v="0"/>
    <n v="0"/>
    <n v="0"/>
    <n v="0"/>
    <n v="0"/>
    <n v="890.30570604887907"/>
    <n v="0"/>
    <n v="0"/>
    <n v="2259.3665009696633"/>
    <n v="0"/>
    <n v="0"/>
    <n v="0"/>
    <n v="306.51880155845447"/>
    <n v="0"/>
    <n v="-36.773896259992398"/>
    <m/>
    <n v="0"/>
    <n v="0"/>
    <n v="0"/>
    <n v="0"/>
    <n v="-11.546917062774128"/>
    <n v="-20.4930782596727"/>
    <n v="0"/>
    <n v="-373.31587442937018"/>
    <m/>
    <m/>
    <m/>
    <n v="83091.026734993851"/>
    <n v="0"/>
    <n v="0"/>
    <n v="-17747.386360000004"/>
    <n v="1714.3513200000016"/>
    <n v="0"/>
    <n v="0"/>
    <n v="-19046.41716665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6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1.649"/>
    <n v="1.649"/>
    <n v="1.649"/>
    <n v="1.649"/>
    <m/>
    <n v="597.01"/>
    <n v="243.39"/>
    <m/>
    <n v="1385.8195999999998"/>
    <n v="1385.8195999999998"/>
    <n v="1255.3507199999999"/>
    <n v="0"/>
    <n v="41.032854340110845"/>
    <n v="0"/>
    <n v="0"/>
    <n v="0"/>
    <n v="193.2447691905503"/>
    <n v="676.15352733394298"/>
    <n v="401.34556667727446"/>
    <n v="0"/>
    <n v="0"/>
    <n v="0"/>
    <n v="0"/>
    <n v="0"/>
    <n v="16.752340771106034"/>
    <m/>
    <n v="2.8311209718392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448874078608029"/>
    <n v="0"/>
    <n v="0"/>
    <n v="0"/>
    <n v="0"/>
    <n v="5"/>
    <m/>
    <m/>
    <m/>
    <m/>
    <m/>
    <n v="150.65263999999996"/>
    <m/>
    <m/>
    <m/>
    <n v="455.79444075588248"/>
    <m/>
    <m/>
    <m/>
    <m/>
    <m/>
    <m/>
    <m/>
    <m/>
    <m/>
    <m/>
    <m/>
    <m/>
    <n v="1105.3679999999999"/>
    <n v="-114.17994999999996"/>
    <m/>
    <m/>
    <m/>
    <m/>
    <n v="-144.41941999999997"/>
    <n v="13.950540000000013"/>
    <n v="30"/>
    <n v="24.526934144895677"/>
    <n v="0"/>
    <n v="0"/>
    <n v="0"/>
    <n v="0"/>
    <n v="0"/>
    <n v="0"/>
    <n v="0"/>
    <n v="7.2448658682533846"/>
    <n v="0"/>
    <n v="0"/>
    <n v="18.385602985062178"/>
    <n v="0"/>
    <n v="0"/>
    <n v="0"/>
    <n v="2.4942978443259136"/>
    <n v="0"/>
    <n v="-0.29924771238305681"/>
    <m/>
    <n v="0"/>
    <n v="0"/>
    <n v="0"/>
    <n v="0"/>
    <n v="-9.3963078910167752E-2"/>
    <n v="-0.16676249765695284"/>
    <n v="0"/>
    <n v="-3.0378592637954203"/>
    <m/>
    <m/>
    <m/>
    <n v="676.15352733394298"/>
    <n v="0"/>
    <n v="0"/>
    <n v="-144.41941999999995"/>
    <n v="13.950540000000046"/>
    <n v="0"/>
    <n v="0"/>
    <n v="-154.99028783674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7"/>
    <s v="Regular"/>
    <s v="Branca"/>
    <s v="B2"/>
    <s v="Rural"/>
    <s v="Não se aplica"/>
    <s v="Não se aplica"/>
    <s v="Não se aplica"/>
    <s v="Ponta"/>
    <s v="CATIVO"/>
    <x v="1"/>
    <n v="0"/>
    <n v="0"/>
    <n v="0.03"/>
    <n v="0.03"/>
    <n v="0.03"/>
    <n v="0.03"/>
    <m/>
    <n v="1298.56"/>
    <n v="214.18"/>
    <m/>
    <n v="45.382199999999997"/>
    <n v="45.382199999999997"/>
    <n v="39.384299999999996"/>
    <n v="0"/>
    <n v="0.65692380508121695"/>
    <n v="0"/>
    <n v="0"/>
    <n v="0"/>
    <n v="8.2496461738898699"/>
    <n v="28.864974469521869"/>
    <n v="6.4254232627532097"/>
    <n v="0"/>
    <n v="0"/>
    <n v="0"/>
    <n v="0"/>
    <n v="0"/>
    <n v="0.26819999779090292"/>
    <m/>
    <n v="4.53254054921502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171029452713888"/>
    <n v="0"/>
    <n v="0"/>
    <n v="0"/>
    <n v="0"/>
    <n v="0"/>
    <m/>
    <m/>
    <m/>
    <m/>
    <m/>
    <m/>
    <m/>
    <m/>
    <m/>
    <n v="7.2971335572803486"/>
    <m/>
    <m/>
    <m/>
    <m/>
    <m/>
    <m/>
    <m/>
    <m/>
    <m/>
    <m/>
    <m/>
    <m/>
    <n v="39.384299999999996"/>
    <n v="-6.0278999999999954"/>
    <m/>
    <m/>
    <m/>
    <m/>
    <n v="-6.2213999999999965"/>
    <n v="0.22349999999999964"/>
    <n v="30"/>
    <n v="0.6187117447986239"/>
    <n v="0"/>
    <n v="0"/>
    <n v="0"/>
    <n v="0"/>
    <n v="0"/>
    <n v="0"/>
    <n v="0"/>
    <n v="0.30928433530556987"/>
    <n v="0"/>
    <n v="0"/>
    <n v="0.29434804051281027"/>
    <n v="0"/>
    <n v="0"/>
    <n v="0"/>
    <n v="3.9932967307584111E-2"/>
    <n v="0"/>
    <n v="-4.7908669538579973E-3"/>
    <m/>
    <n v="0"/>
    <n v="0"/>
    <n v="0"/>
    <n v="0"/>
    <n v="-1.504320972241513E-3"/>
    <n v="-2.6698180340472E-3"/>
    <n v="0"/>
    <n v="-1.5888592367195399E-2"/>
    <m/>
    <m/>
    <m/>
    <n v="28.864974469521869"/>
    <n v="0"/>
    <n v="0"/>
    <n v="-6.2213999999999956"/>
    <n v="0.22349999999999959"/>
    <n v="0"/>
    <n v="0"/>
    <n v="-6.616530892135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8"/>
    <s v="Regular"/>
    <s v="Branca"/>
    <s v="B2"/>
    <s v="Rural"/>
    <s v="Não se aplica"/>
    <s v="Não se aplica"/>
    <s v="Não se aplica"/>
    <s v="Fora ponta"/>
    <s v="CATIVO"/>
    <x v="1"/>
    <n v="0"/>
    <n v="0"/>
    <n v="0.311"/>
    <n v="0.311"/>
    <n v="0.311"/>
    <n v="0.311"/>
    <m/>
    <n v="308.83999999999997"/>
    <n v="214.18"/>
    <m/>
    <n v="162.65922"/>
    <n v="162.65922"/>
    <n v="152.35579000000001"/>
    <n v="0"/>
    <n v="6.8101101126752832"/>
    <n v="0"/>
    <n v="0"/>
    <n v="0"/>
    <n v="17.104753790293248"/>
    <n v="59.846744526440972"/>
    <n v="66.610221157208272"/>
    <n v="0"/>
    <n v="0"/>
    <n v="0"/>
    <n v="0"/>
    <n v="0"/>
    <n v="2.7803399770990271"/>
    <m/>
    <n v="0.46987337026862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036730053264673"/>
    <n v="0"/>
    <n v="0"/>
    <n v="0"/>
    <n v="0"/>
    <n v="0"/>
    <m/>
    <m/>
    <m/>
    <m/>
    <m/>
    <m/>
    <m/>
    <m/>
    <m/>
    <n v="75.646951210472949"/>
    <m/>
    <m/>
    <m/>
    <m/>
    <m/>
    <m/>
    <m/>
    <m/>
    <m/>
    <m/>
    <m/>
    <m/>
    <n v="151.86590000000001"/>
    <n v="-10.823319999999995"/>
    <m/>
    <m/>
    <m/>
    <m/>
    <n v="-12.620379999999995"/>
    <n v="2.3169499999999963"/>
    <n v="30"/>
    <n v="3.4144578987466616"/>
    <n v="0"/>
    <n v="0"/>
    <n v="0"/>
    <n v="0"/>
    <n v="0"/>
    <n v="0"/>
    <n v="0"/>
    <n v="0.64126779441036419"/>
    <n v="0"/>
    <n v="0"/>
    <n v="3.0514080199828015"/>
    <n v="0"/>
    <n v="0"/>
    <n v="0"/>
    <n v="0.41397176108862155"/>
    <n v="0"/>
    <n v="-4.9665320754995079E-2"/>
    <m/>
    <n v="0"/>
    <n v="0"/>
    <n v="0"/>
    <n v="0"/>
    <n v="-1.5594794078904073E-2"/>
    <n v="-2.7677113619622606E-2"/>
    <n v="0"/>
    <n v="-0.59925244828158486"/>
    <m/>
    <m/>
    <m/>
    <n v="59.846744526440972"/>
    <n v="0"/>
    <n v="0"/>
    <n v="-12.620379999999997"/>
    <n v="2.3169499999999914"/>
    <n v="0"/>
    <n v="0"/>
    <n v="-13.718281108166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49"/>
    <s v="Regular"/>
    <s v="Branca"/>
    <s v="B2"/>
    <s v="Rural"/>
    <s v="Não se aplica"/>
    <s v="Não se aplica"/>
    <s v="Não se aplica"/>
    <s v="Não se aplica"/>
    <s v="CATIVO"/>
    <x v="1"/>
    <n v="0"/>
    <n v="0"/>
    <n v="0.36699999999999999"/>
    <n v="0.36699999999999999"/>
    <n v="0.36699999999999999"/>
    <n v="0.36699999999999999"/>
    <m/>
    <n v="597.01"/>
    <n v="243.39"/>
    <m/>
    <n v="308.42679999999996"/>
    <n v="308.42679999999996"/>
    <n v="279.38976000000002"/>
    <n v="0"/>
    <n v="9.1322362297275195"/>
    <n v="0"/>
    <n v="0"/>
    <n v="0"/>
    <n v="43.008387078794399"/>
    <n v="150.48413858796667"/>
    <n v="89.323118842061675"/>
    <n v="0"/>
    <n v="0"/>
    <n v="0"/>
    <n v="0"/>
    <n v="0"/>
    <n v="3.7283863329265707"/>
    <m/>
    <n v="0.63009181119769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18093867100756"/>
    <n v="0"/>
    <n v="0.54"/>
    <n v="2.48"/>
    <n v="0"/>
    <n v="5"/>
    <m/>
    <m/>
    <m/>
    <m/>
    <m/>
    <n v="33.529119999999992"/>
    <m/>
    <m/>
    <m/>
    <n v="101.44121270916243"/>
    <m/>
    <m/>
    <m/>
    <m/>
    <m/>
    <m/>
    <m/>
    <m/>
    <m/>
    <m/>
    <m/>
    <m/>
    <n v="247.87040000000002"/>
    <n v="-23.574449999999956"/>
    <m/>
    <m/>
    <m/>
    <m/>
    <n v="-32.141859999999994"/>
    <n v="3.1048200000000028"/>
    <n v="30"/>
    <n v="5.4586930449829083"/>
    <n v="0"/>
    <n v="0"/>
    <n v="0"/>
    <n v="0"/>
    <n v="0"/>
    <n v="0"/>
    <n v="0"/>
    <n v="1.6124110210121216"/>
    <n v="0"/>
    <n v="0"/>
    <n v="4.0918837450077774"/>
    <n v="0"/>
    <n v="0"/>
    <n v="0"/>
    <n v="0.55512875007132223"/>
    <n v="0"/>
    <n v="-6.6600309547956371E-2"/>
    <m/>
    <n v="0"/>
    <n v="0"/>
    <n v="0"/>
    <n v="0"/>
    <n v="-2.0912340788376227E-2"/>
    <n v="-3.7114515852093244E-2"/>
    <n v="0"/>
    <n v="-0.67610330491990234"/>
    <m/>
    <m/>
    <m/>
    <n v="150.48413858796667"/>
    <n v="0"/>
    <n v="0"/>
    <n v="-32.14185999999998"/>
    <n v="3.1048200000000037"/>
    <n v="0"/>
    <n v="0"/>
    <n v="-34.494503114667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0"/>
    <s v="Regular"/>
    <s v="Branca"/>
    <s v="B2"/>
    <s v="Rural"/>
    <s v="Não se aplica"/>
    <s v="Não se aplica"/>
    <s v="Não se aplica"/>
    <s v="Intermediário"/>
    <s v="CATIVO"/>
    <x v="1"/>
    <n v="0"/>
    <n v="0"/>
    <n v="0.02"/>
    <n v="0.02"/>
    <n v="0.02"/>
    <n v="0.02"/>
    <m/>
    <n v="803.7"/>
    <n v="214.18"/>
    <m/>
    <n v="20.357600000000001"/>
    <n v="20.357600000000001"/>
    <n v="18.027000000000001"/>
    <n v="0"/>
    <n v="0.437949203387478"/>
    <n v="0"/>
    <n v="0"/>
    <n v="0"/>
    <n v="3.29987312360984"/>
    <n v="11.545985827298701"/>
    <n v="4.2836155085021401"/>
    <n v="0"/>
    <n v="0"/>
    <n v="0"/>
    <n v="0"/>
    <n v="0"/>
    <n v="0.17879999852726861"/>
    <m/>
    <n v="3.021693699476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1140196351426"/>
    <n v="0"/>
    <n v="0"/>
    <n v="0"/>
    <n v="0"/>
    <n v="0"/>
    <m/>
    <m/>
    <m/>
    <m/>
    <m/>
    <m/>
    <m/>
    <m/>
    <m/>
    <n v="4.8647557048535663"/>
    <m/>
    <m/>
    <m/>
    <m/>
    <m/>
    <m/>
    <m/>
    <m/>
    <m/>
    <m/>
    <m/>
    <m/>
    <n v="18.027000000000001"/>
    <n v="-2.3606000000000051"/>
    <m/>
    <m/>
    <m/>
    <m/>
    <n v="-2.4796000000000005"/>
    <n v="0.14899999999999977"/>
    <n v="30"/>
    <n v="0.31602684473496012"/>
    <n v="0"/>
    <n v="0"/>
    <n v="0"/>
    <n v="0"/>
    <n v="0"/>
    <n v="0"/>
    <n v="0"/>
    <n v="0.12371428351175995"/>
    <n v="0"/>
    <n v="0"/>
    <n v="0.19623202700854048"/>
    <n v="0"/>
    <n v="0"/>
    <n v="0"/>
    <n v="2.6621978205056074E-2"/>
    <n v="0"/>
    <n v="-3.1939113025720167E-3"/>
    <m/>
    <n v="0"/>
    <n v="0"/>
    <n v="0"/>
    <n v="0"/>
    <n v="-1.0028806481610086E-3"/>
    <n v="-1.7798786893648E-3"/>
    <n v="0"/>
    <n v="-2.4564773350298198E-2"/>
    <m/>
    <m/>
    <m/>
    <n v="11.545985827298701"/>
    <n v="0"/>
    <n v="0"/>
    <n v="-2.4796000000000014"/>
    <n v="0.14900000000000002"/>
    <n v="0"/>
    <n v="0"/>
    <n v="-2.646611449012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1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3.058999999999999"/>
    <n v="13.058999999999999"/>
    <n v="13.058999999999999"/>
    <n v="13.058999999999999"/>
    <m/>
    <n v="597.01"/>
    <n v="243.39"/>
    <m/>
    <n v="10974.783599999999"/>
    <n v="10974.783599999999"/>
    <n v="9941.5555199999999"/>
    <n v="0"/>
    <n v="324.95333221801542"/>
    <n v="0"/>
    <n v="0"/>
    <n v="0"/>
    <n v="1530.3720077982998"/>
    <n v="5354.6930948780837"/>
    <n v="3178.3940298596281"/>
    <n v="0"/>
    <n v="0"/>
    <n v="0"/>
    <n v="0"/>
    <n v="0"/>
    <n v="132.66756708906834"/>
    <m/>
    <n v="22.420623875832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1.19942182689033"/>
    <n v="0"/>
    <n v="11.49"/>
    <n v="53.01"/>
    <n v="948.93"/>
    <n v="30"/>
    <m/>
    <m/>
    <m/>
    <m/>
    <m/>
    <m/>
    <m/>
    <m/>
    <m/>
    <n v="3609.5934516865182"/>
    <m/>
    <m/>
    <m/>
    <m/>
    <m/>
    <m/>
    <m/>
    <m/>
    <m/>
    <m/>
    <m/>
    <m/>
    <n v="9942.3168000000005"/>
    <n v="-1032.496799999999"/>
    <m/>
    <m/>
    <m/>
    <m/>
    <n v="-1143.7072199999998"/>
    <n v="110.4791400000001"/>
    <n v="30"/>
    <n v="194.23725469872443"/>
    <n v="0"/>
    <n v="0"/>
    <n v="0"/>
    <n v="0"/>
    <n v="0"/>
    <n v="0"/>
    <n v="0"/>
    <n v="57.374592706804606"/>
    <n v="0"/>
    <n v="0"/>
    <n v="145.6019341309443"/>
    <n v="0"/>
    <n v="0"/>
    <n v="0"/>
    <n v="19.753205305671429"/>
    <n v="0"/>
    <n v="-2.3698458920620169"/>
    <m/>
    <n v="0"/>
    <n v="0"/>
    <n v="0"/>
    <n v="0"/>
    <n v="-0.74412604456512099"/>
    <n v="-1.3206497616144013"/>
    <n v="0"/>
    <n v="-24.057855746455054"/>
    <m/>
    <m/>
    <m/>
    <n v="5354.6930948780837"/>
    <n v="0"/>
    <n v="0"/>
    <n v="-1143.7072200000002"/>
    <n v="110.47914000000037"/>
    <n v="0"/>
    <n v="0"/>
    <n v="-1227.421569957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2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124.815"/>
    <n v="124.815"/>
    <n v="124.815"/>
    <n v="124.815"/>
    <m/>
    <n v="328.35"/>
    <n v="133.86000000000001"/>
    <m/>
    <n v="57690.741150000002"/>
    <n v="57690.741150000002"/>
    <n v="52260.040500000003"/>
    <n v="0"/>
    <n v="1708.2071819002535"/>
    <n v="0"/>
    <n v="0"/>
    <n v="0"/>
    <n v="8044.824273247541"/>
    <n v="28148.427157551501"/>
    <n v="16708.108427927971"/>
    <n v="0"/>
    <n v="0"/>
    <n v="0"/>
    <n v="0"/>
    <n v="0"/>
    <n v="697.40380675565791"/>
    <m/>
    <n v="117.86021846880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66.7191752376057"/>
    <n v="0"/>
    <n v="0"/>
    <n v="0"/>
    <n v="0"/>
    <n v="5"/>
    <m/>
    <m/>
    <m/>
    <m/>
    <m/>
    <m/>
    <m/>
    <m/>
    <m/>
    <n v="18974.827603165577"/>
    <m/>
    <m/>
    <m/>
    <m/>
    <m/>
    <m/>
    <m/>
    <m/>
    <m/>
    <m/>
    <m/>
    <m/>
    <n v="52262.134000000005"/>
    <n v="-5428.6371500000023"/>
    <m/>
    <m/>
    <m/>
    <m/>
    <n v="-6012.3385500000022"/>
    <n v="581.6378999999996"/>
    <n v="30"/>
    <n v="1021.061920504726"/>
    <n v="0"/>
    <n v="0"/>
    <n v="0"/>
    <n v="0"/>
    <n v="0"/>
    <n v="0"/>
    <n v="0"/>
    <n v="301.60543562176645"/>
    <n v="0"/>
    <n v="0"/>
    <n v="765.39688909598408"/>
    <n v="0"/>
    <n v="0"/>
    <n v="0"/>
    <n v="103.83819405198938"/>
    <n v="0"/>
    <n v="-12.457751225957054"/>
    <m/>
    <n v="0"/>
    <n v="0"/>
    <n v="0"/>
    <n v="0"/>
    <n v="-3.9117046281327248"/>
    <n v="-6.9423612066581057"/>
    <n v="0"/>
    <n v="-126.46678120427234"/>
    <m/>
    <m/>
    <m/>
    <n v="28148.427157551501"/>
    <n v="0"/>
    <n v="0"/>
    <n v="-6012.3385500000004"/>
    <n v="581.63790000000154"/>
    <n v="0"/>
    <n v="0"/>
    <n v="-6452.281399023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3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66.103999999999999"/>
    <n v="62.137759999999993"/>
    <n v="66.103999999999999"/>
    <n v="62.137759999999993"/>
    <m/>
    <n v="597.01"/>
    <n v="243.39"/>
    <m/>
    <n v="55553.801599999999"/>
    <n v="55553.801599999999"/>
    <n v="50323.653119999995"/>
    <n v="0"/>
    <n v="1644.8973943594222"/>
    <n v="0"/>
    <n v="0"/>
    <n v="0"/>
    <n v="7746.6659930698224"/>
    <n v="27105.186640923566"/>
    <n v="16088.870430342358"/>
    <n v="0"/>
    <n v="0"/>
    <n v="0"/>
    <n v="0"/>
    <n v="0"/>
    <n v="671.5565399231009"/>
    <m/>
    <n v="113.49206835807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2.7097465690144"/>
    <n v="0"/>
    <n v="0"/>
    <n v="0"/>
    <n v="0"/>
    <n v="9"/>
    <m/>
    <m/>
    <m/>
    <m/>
    <n v="3019.4191872000047"/>
    <m/>
    <m/>
    <m/>
    <m/>
    <n v="18271.580176911371"/>
    <m/>
    <m/>
    <m/>
    <m/>
    <m/>
    <m/>
    <m/>
    <m/>
    <m/>
    <m/>
    <m/>
    <m/>
    <n v="47305.939200000001"/>
    <n v="-4914.6643039999981"/>
    <m/>
    <m/>
    <m/>
    <m/>
    <n v="-5789.3883199999991"/>
    <n v="559.23984000000053"/>
    <n v="30"/>
    <n v="983.21919630940465"/>
    <n v="0"/>
    <n v="0"/>
    <n v="0"/>
    <n v="0"/>
    <n v="0"/>
    <n v="0"/>
    <n v="0"/>
    <n v="290.42729736508318"/>
    <n v="0"/>
    <n v="0"/>
    <n v="737.02965416892039"/>
    <n v="0"/>
    <n v="0"/>
    <n v="0"/>
    <n v="99.989729958350836"/>
    <n v="0"/>
    <n v="-11.996040496888554"/>
    <m/>
    <n v="0"/>
    <n v="0"/>
    <n v="0"/>
    <n v="0"/>
    <n v="-3.7667285435281883"/>
    <n v="-6.6850625501001844"/>
    <n v="0"/>
    <n v="-121.77965359243933"/>
    <m/>
    <m/>
    <m/>
    <n v="27105.186640923566"/>
    <n v="0"/>
    <n v="0"/>
    <n v="-5789.3883200000055"/>
    <n v="559.23984000000019"/>
    <n v="0"/>
    <n v="0"/>
    <n v="-6213.1461413949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4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2.3570000000000002"/>
    <n v="2.3570000000000002"/>
    <n v="2.3570000000000002"/>
    <n v="2.3570000000000002"/>
    <m/>
    <n v="597.01"/>
    <n v="243.39"/>
    <m/>
    <n v="1980.8228000000004"/>
    <n v="1980.8228000000004"/>
    <n v="1794.3369600000001"/>
    <n v="0"/>
    <n v="58.650356385470751"/>
    <n v="0"/>
    <n v="0"/>
    <n v="0"/>
    <n v="276.21462764228448"/>
    <n v="966.46080286604217"/>
    <n v="573.66373599656515"/>
    <n v="0"/>
    <n v="0"/>
    <n v="0"/>
    <n v="0"/>
    <n v="0"/>
    <n v="23.944977075498443"/>
    <m/>
    <n v="4.04666593731052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826559250017667"/>
    <n v="0"/>
    <n v="0"/>
    <n v="0"/>
    <n v="636.70000000000005"/>
    <n v="3"/>
    <m/>
    <m/>
    <m/>
    <m/>
    <m/>
    <m/>
    <m/>
    <m/>
    <m/>
    <n v="651.49029524658283"/>
    <m/>
    <m/>
    <m/>
    <m/>
    <m/>
    <m/>
    <m/>
    <m/>
    <m/>
    <m/>
    <m/>
    <m/>
    <n v="1796.6207999999999"/>
    <n v="-184.23200000000043"/>
    <m/>
    <m/>
    <m/>
    <m/>
    <n v="-206.42605999999998"/>
    <n v="19.940220000000021"/>
    <n v="30"/>
    <n v="35.057600836579468"/>
    <n v="0"/>
    <n v="0"/>
    <n v="0"/>
    <n v="0"/>
    <n v="0"/>
    <n v="0"/>
    <n v="0"/>
    <n v="10.355457156745445"/>
    <n v="0"/>
    <n v="0"/>
    <n v="26.279482253360584"/>
    <n v="0"/>
    <n v="0"/>
    <n v="0"/>
    <n v="3.5652274221201878"/>
    <n v="0"/>
    <n v="-0.42773005341835102"/>
    <m/>
    <n v="0"/>
    <n v="0"/>
    <n v="0"/>
    <n v="0"/>
    <n v="-0.13430623225668725"/>
    <n v="-0.23836216311548686"/>
    <n v="0"/>
    <n v="-4.3421675468561585"/>
    <m/>
    <m/>
    <m/>
    <n v="966.46080286604217"/>
    <n v="0"/>
    <n v="0"/>
    <n v="-206.42606000000001"/>
    <n v="19.940219999999954"/>
    <n v="0"/>
    <n v="0"/>
    <n v="-221.53554180182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5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56"/>
    <s v="Regular"/>
    <s v="Convencional"/>
    <s v="B2"/>
    <s v="Rural"/>
    <s v="Agropecuária rural"/>
    <s v="IRRIG./AQUIC."/>
    <s v="Não se aplica"/>
    <s v="Não se aplica"/>
    <s v="CATIVO"/>
    <x v="1"/>
    <n v="0"/>
    <n v="0"/>
    <n v="1.21"/>
    <n v="1.21"/>
    <n v="1.21"/>
    <n v="1.21"/>
    <m/>
    <n v="597.01"/>
    <n v="243.39"/>
    <m/>
    <n v="1016.8839999999999"/>
    <n v="1016.8839999999999"/>
    <n v="921.14879999999994"/>
    <n v="0"/>
    <n v="30.109007732889097"/>
    <n v="0"/>
    <n v="0"/>
    <n v="0"/>
    <n v="141.79876938785074"/>
    <n v="496.14661496305087"/>
    <n v="294.49856620952215"/>
    <n v="0"/>
    <n v="0"/>
    <n v="0"/>
    <n v="0"/>
    <n v="0"/>
    <n v="12.292499898749728"/>
    <m/>
    <n v="2.07741441839021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953388499160532"/>
    <n v="0"/>
    <n v="0"/>
    <n v="0"/>
    <n v="0"/>
    <n v="0"/>
    <m/>
    <m/>
    <m/>
    <m/>
    <m/>
    <n v="110.54559999999998"/>
    <m/>
    <m/>
    <m/>
    <n v="334.45195470868271"/>
    <m/>
    <m/>
    <m/>
    <m/>
    <m/>
    <m/>
    <m/>
    <m/>
    <m/>
    <m/>
    <m/>
    <m/>
    <n v="810.60320000000002"/>
    <n v="-84.28229999999985"/>
    <m/>
    <m/>
    <m/>
    <m/>
    <n v="-105.97179999999997"/>
    <n v="10.23660000000001"/>
    <n v="30"/>
    <n v="17.997325843131534"/>
    <n v="0"/>
    <n v="0"/>
    <n v="0"/>
    <n v="0"/>
    <n v="0"/>
    <n v="0"/>
    <n v="0"/>
    <n v="5.3161235297674807"/>
    <n v="0"/>
    <n v="0"/>
    <n v="13.490951856837626"/>
    <n v="0"/>
    <n v="0"/>
    <n v="0"/>
    <n v="1.8302610015975489"/>
    <n v="0"/>
    <n v="-0.21958140205184762"/>
    <m/>
    <n v="0"/>
    <n v="0"/>
    <n v="0"/>
    <n v="0"/>
    <n v="-6.8948044561130573E-2"/>
    <n v="-0.12236665989382223"/>
    <n v="0"/>
    <n v="-2.2291144385642561"/>
    <m/>
    <m/>
    <m/>
    <n v="496.14661496305087"/>
    <n v="0"/>
    <n v="0"/>
    <n v="-105.97179999999992"/>
    <n v="10.23660000000001"/>
    <n v="0"/>
    <n v="0"/>
    <n v="-113.72847075952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7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0.34200000000000003"/>
    <n v="9.2340000000000005E-2"/>
    <n v="0.34200000000000003"/>
    <n v="9.2340000000000005E-2"/>
    <m/>
    <n v="597.01"/>
    <n v="243.39"/>
    <m/>
    <n v="287.41680000000002"/>
    <n v="287.41680000000002"/>
    <n v="260.35775999999998"/>
    <n v="0"/>
    <n v="8.5101492930975802"/>
    <n v="0"/>
    <n v="0"/>
    <n v="0"/>
    <n v="40.078660438549548"/>
    <n v="140.23317546889538"/>
    <n v="83.238437722030241"/>
    <n v="0"/>
    <n v="0"/>
    <n v="0"/>
    <n v="0"/>
    <n v="0"/>
    <n v="3.474409062291246"/>
    <m/>
    <n v="0.58717002569376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292610633647026"/>
    <n v="0"/>
    <n v="0"/>
    <n v="0"/>
    <n v="0"/>
    <n v="0"/>
    <m/>
    <m/>
    <m/>
    <m/>
    <m/>
    <m/>
    <n v="198.49734720000001"/>
    <m/>
    <m/>
    <n v="94.531048355677271"/>
    <m/>
    <m/>
    <m/>
    <m/>
    <m/>
    <m/>
    <m/>
    <m/>
    <m/>
    <m/>
    <m/>
    <m/>
    <n v="60.2928"/>
    <n v="-8.0272470000000027"/>
    <m/>
    <m/>
    <m/>
    <m/>
    <n v="-29.952359999999995"/>
    <n v="2.8933200000000028"/>
    <n v="30"/>
    <n v="5.0868474697115573"/>
    <n v="0"/>
    <n v="0"/>
    <n v="0"/>
    <n v="0"/>
    <n v="0"/>
    <n v="0"/>
    <n v="0"/>
    <n v="1.5025737580004019"/>
    <n v="0"/>
    <n v="0"/>
    <n v="3.8131450702797167"/>
    <n v="0"/>
    <n v="0"/>
    <n v="0"/>
    <n v="0.51731344012096159"/>
    <n v="0"/>
    <n v="-6.2063503720439783E-2"/>
    <m/>
    <n v="0"/>
    <n v="0"/>
    <n v="0"/>
    <n v="0"/>
    <n v="-1.9487794413146187E-2"/>
    <n v="-3.4586279077427395E-2"/>
    <n v="0"/>
    <n v="-0.63004722147849224"/>
    <m/>
    <m/>
    <m/>
    <n v="140.23317546889538"/>
    <n v="0"/>
    <n v="0"/>
    <n v="-29.952359999999999"/>
    <n v="2.8933200000000028"/>
    <n v="0"/>
    <n v="0"/>
    <n v="-32.14474132211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8"/>
    <s v="Regular"/>
    <s v="Convencional"/>
    <s v="B1"/>
    <s v="Residencial"/>
    <s v="Residencial"/>
    <s v="Não se aplica"/>
    <s v="Não se aplica"/>
    <s v="Não se aplica"/>
    <s v="CATIVO"/>
    <x v="2"/>
    <n v="0"/>
    <n v="0"/>
    <n v="192.77"/>
    <n v="192.77"/>
    <n v="192.77"/>
    <n v="192.77"/>
    <m/>
    <n v="597.01"/>
    <n v="243.39"/>
    <m/>
    <n v="162003.908"/>
    <n v="162003.908"/>
    <n v="146751.94560000001"/>
    <n v="0"/>
    <n v="4796.7879509661416"/>
    <n v="0"/>
    <n v="0"/>
    <n v="0"/>
    <n v="22590.536177599992"/>
    <n v="79043.126418534986"/>
    <n v="46917.759180338508"/>
    <n v="0"/>
    <n v="0"/>
    <n v="0"/>
    <n v="0"/>
    <n v="0"/>
    <n v="1958.3679384148641"/>
    <m/>
    <n v="330.96130366370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65.1361165150211"/>
    <n v="0"/>
    <n v="41.77"/>
    <n v="192.87"/>
    <n v="1223.8800000000001"/>
    <n v="2004"/>
    <m/>
    <m/>
    <m/>
    <m/>
    <m/>
    <m/>
    <m/>
    <m/>
    <m/>
    <n v="53282.89529685353"/>
    <m/>
    <m/>
    <m/>
    <m/>
    <m/>
    <m/>
    <m/>
    <m/>
    <m/>
    <m/>
    <m/>
    <m/>
    <n v="146751.94560000001"/>
    <n v="-15251.992399999988"/>
    <m/>
    <m/>
    <m/>
    <m/>
    <n v="-16882.796599999998"/>
    <n v="1630.8342000000016"/>
    <n v="31"/>
    <n v="2867.2268618020316"/>
    <n v="0"/>
    <n v="0"/>
    <n v="0"/>
    <n v="0"/>
    <n v="0"/>
    <n v="0"/>
    <n v="0"/>
    <n v="846.93316763080657"/>
    <n v="0"/>
    <n v="0"/>
    <n v="2149.2981730930478"/>
    <n v="0"/>
    <n v="0"/>
    <n v="0"/>
    <n v="291.58629196525635"/>
    <n v="0"/>
    <n v="-34.982402374821504"/>
    <m/>
    <n v="0"/>
    <n v="0"/>
    <n v="0"/>
    <n v="0"/>
    <n v="-10.984392190123572"/>
    <n v="-19.494728122092681"/>
    <n v="0"/>
    <n v="-355.12924820002615"/>
    <m/>
    <m/>
    <m/>
    <n v="79043.126418534986"/>
    <n v="0"/>
    <n v="0"/>
    <n v="-16882.796600000001"/>
    <n v="1630.8341999999975"/>
    <n v="0"/>
    <n v="0"/>
    <n v="-18118.543230011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59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.478"/>
    <n v="1.478"/>
    <n v="1.478"/>
    <n v="1.478"/>
    <m/>
    <n v="597.01"/>
    <n v="243.39"/>
    <m/>
    <n v="1242.1111999999998"/>
    <n v="1242.1111999999998"/>
    <n v="1125.17184"/>
    <n v="0"/>
    <n v="36.777779693562053"/>
    <n v="0"/>
    <n v="0"/>
    <n v="0"/>
    <n v="173.20543897127553"/>
    <n v="606.03693959949521"/>
    <n v="359.72634781625931"/>
    <n v="0"/>
    <n v="0"/>
    <n v="0"/>
    <n v="0"/>
    <n v="0"/>
    <n v="15.015136239960412"/>
    <m/>
    <n v="2.5375359589923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802568761784514"/>
    <n v="0"/>
    <n v="0"/>
    <n v="0"/>
    <n v="0"/>
    <n v="8"/>
    <m/>
    <m/>
    <m/>
    <m/>
    <m/>
    <m/>
    <m/>
    <m/>
    <m/>
    <n v="408.52891657804383"/>
    <m/>
    <m/>
    <m/>
    <m/>
    <m/>
    <m/>
    <m/>
    <m/>
    <m/>
    <m/>
    <m/>
    <m/>
    <n v="1126.6944000000001"/>
    <n v="-115.44679999999971"/>
    <m/>
    <m/>
    <m/>
    <m/>
    <n v="-129.44323999999997"/>
    <n v="12.503880000000011"/>
    <n v="31"/>
    <n v="21.98351041004014"/>
    <n v="0"/>
    <n v="0"/>
    <n v="0"/>
    <n v="0"/>
    <n v="0"/>
    <n v="0"/>
    <n v="0"/>
    <n v="6.4935789892531943"/>
    <n v="0"/>
    <n v="0"/>
    <n v="16.479030449922334"/>
    <n v="0"/>
    <n v="0"/>
    <n v="0"/>
    <n v="2.2356411242654346"/>
    <n v="0"/>
    <n v="-0.2682159605228307"/>
    <m/>
    <n v="0"/>
    <n v="0"/>
    <n v="0"/>
    <n v="0"/>
    <n v="-8.4219181703597101E-2"/>
    <n v="-0.14946935811823936"/>
    <n v="0"/>
    <n v="-2.7228356530561739"/>
    <m/>
    <m/>
    <m/>
    <n v="606.03693959949521"/>
    <n v="0"/>
    <n v="0"/>
    <n v="-129.44323999999995"/>
    <n v="12.503879999999981"/>
    <n v="0"/>
    <n v="0"/>
    <n v="-138.91791717568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0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60.3"/>
    <n v="60.3"/>
    <n v="60.3"/>
    <n v="60.3"/>
    <m/>
    <n v="561.96"/>
    <n v="243.39"/>
    <m/>
    <n v="48562.604999999996"/>
    <n v="48562.604999999996"/>
    <n v="43803.125999999997"/>
    <n v="0"/>
    <n v="0"/>
    <n v="0"/>
    <n v="0"/>
    <n v="0"/>
    <n v="7066.5006562705776"/>
    <n v="24725.323043199973"/>
    <n v="14676.250861515857"/>
    <n v="0"/>
    <n v="0"/>
    <n v="0"/>
    <n v="0"/>
    <n v="0"/>
    <n v="0"/>
    <m/>
    <n v="103.527346635479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1.0655590903966"/>
    <n v="0"/>
    <n v="0"/>
    <n v="0"/>
    <n v="0"/>
    <n v="148"/>
    <m/>
    <m/>
    <m/>
    <m/>
    <m/>
    <m/>
    <m/>
    <n v="28471.851000000002"/>
    <m/>
    <n v="16667.316420606254"/>
    <m/>
    <m/>
    <m/>
    <m/>
    <m/>
    <m/>
    <m/>
    <m/>
    <m/>
    <m/>
    <m/>
    <m/>
    <n v="15331.275"/>
    <n v="-1666.118999999997"/>
    <m/>
    <m/>
    <m/>
    <m/>
    <n v="-5269.617000000002"/>
    <n v="510.13800000000043"/>
    <n v="31"/>
    <n v="908.28719203699075"/>
    <n v="0"/>
    <n v="0"/>
    <n v="0"/>
    <n v="0"/>
    <n v="0"/>
    <n v="0"/>
    <n v="0"/>
    <n v="264.92747838428113"/>
    <n v="0"/>
    <n v="0"/>
    <n v="672.31768344405646"/>
    <n v="0"/>
    <n v="0"/>
    <n v="0"/>
    <n v="91.210527600274418"/>
    <n v="0"/>
    <n v="0"/>
    <m/>
    <n v="0"/>
    <n v="0"/>
    <n v="0"/>
    <n v="0"/>
    <n v="0"/>
    <n v="-6.0981071004937775"/>
    <n v="0"/>
    <n v="-114.07039029112543"/>
    <m/>
    <m/>
    <m/>
    <n v="24725.323043199973"/>
    <n v="0"/>
    <n v="0"/>
    <n v="-5269.617000000002"/>
    <n v="510.13800000000083"/>
    <n v="0"/>
    <n v="0"/>
    <n v="-5667.625443636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1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87.186000000000007"/>
    <n v="87.186000000000007"/>
    <n v="87.186000000000007"/>
    <n v="87.186000000000007"/>
    <m/>
    <n v="561.96"/>
    <n v="243.39"/>
    <m/>
    <n v="70215.245100000015"/>
    <n v="70215.245100000015"/>
    <n v="63333.654120000007"/>
    <n v="0"/>
    <n v="0"/>
    <n v="0"/>
    <n v="0"/>
    <n v="0"/>
    <n v="10217.245874255501"/>
    <n v="35749.618819974014"/>
    <n v="21219.960325242482"/>
    <n v="0"/>
    <n v="0"/>
    <n v="0"/>
    <n v="0"/>
    <n v="0"/>
    <n v="0"/>
    <m/>
    <n v="149.6871516378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8.8232476758762"/>
    <n v="0"/>
    <n v="0"/>
    <n v="0"/>
    <n v="0"/>
    <n v="1310"/>
    <m/>
    <m/>
    <m/>
    <m/>
    <m/>
    <m/>
    <m/>
    <n v="25333.636019999998"/>
    <m/>
    <n v="24098.783572918357"/>
    <m/>
    <m/>
    <m/>
    <m/>
    <m/>
    <m/>
    <m/>
    <m/>
    <m/>
    <m/>
    <m/>
    <m/>
    <n v="38001.761500000001"/>
    <n v="-4127.4155600000013"/>
    <m/>
    <m/>
    <m/>
    <m/>
    <n v="-7619.1845400000047"/>
    <n v="737.59356000000071"/>
    <n v="31"/>
    <n v="1313.2657897999597"/>
    <n v="0"/>
    <n v="0"/>
    <n v="0"/>
    <n v="0"/>
    <n v="0"/>
    <n v="0"/>
    <n v="0"/>
    <n v="383.05086451761053"/>
    <n v="0"/>
    <n v="0"/>
    <n v="972.08440379358944"/>
    <n v="0"/>
    <n v="0"/>
    <n v="0"/>
    <n v="131.87862453329262"/>
    <n v="0"/>
    <n v="0"/>
    <m/>
    <n v="0"/>
    <n v="0"/>
    <n v="0"/>
    <n v="0"/>
    <n v="0"/>
    <n v="-8.8170740574403226"/>
    <n v="0"/>
    <n v="-164.9310289870989"/>
    <m/>
    <m/>
    <m/>
    <n v="35749.618819974014"/>
    <n v="0"/>
    <n v="0"/>
    <n v="-7619.1845400000093"/>
    <n v="737.59356000000116"/>
    <n v="0"/>
    <n v="0"/>
    <n v="-8194.6532658184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2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23.824999999999999"/>
    <n v="23.824999999999999"/>
    <n v="23.824999999999999"/>
    <n v="23.824999999999999"/>
    <m/>
    <n v="561.96"/>
    <n v="243.39"/>
    <m/>
    <n v="19187.463749999999"/>
    <n v="19187.463749999999"/>
    <n v="17306.9565"/>
    <n v="0"/>
    <n v="0"/>
    <n v="0"/>
    <n v="0"/>
    <n v="0"/>
    <n v="2792.0294881533418"/>
    <n v="9769.1678524749477"/>
    <n v="5798.7011073899712"/>
    <n v="0"/>
    <n v="0"/>
    <n v="0"/>
    <n v="0"/>
    <n v="0"/>
    <n v="0"/>
    <m/>
    <n v="40.904461585245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6.68552148140463"/>
    <n v="0"/>
    <n v="0"/>
    <n v="0"/>
    <n v="0"/>
    <n v="500"/>
    <m/>
    <m/>
    <m/>
    <m/>
    <m/>
    <m/>
    <m/>
    <n v="1730.6479999999997"/>
    <m/>
    <n v="6585.3866288713762"/>
    <m/>
    <m/>
    <m/>
    <m/>
    <m/>
    <m/>
    <m/>
    <m/>
    <m/>
    <m/>
    <m/>
    <m/>
    <n v="15579.577399999998"/>
    <n v="-1689.2890999999981"/>
    <m/>
    <m/>
    <m/>
    <m/>
    <n v="-2082.0667500000009"/>
    <n v="201.55950000000018"/>
    <n v="31"/>
    <n v="358.87134909256201"/>
    <n v="0"/>
    <n v="0"/>
    <n v="0"/>
    <n v="0"/>
    <n v="0"/>
    <n v="0"/>
    <n v="0"/>
    <n v="104.67491165017418"/>
    <n v="0"/>
    <n v="0"/>
    <n v="265.6379570158324"/>
    <n v="0"/>
    <n v="0"/>
    <n v="0"/>
    <n v="36.037990382695511"/>
    <n v="0"/>
    <n v="0"/>
    <m/>
    <n v="0"/>
    <n v="0"/>
    <n v="0"/>
    <n v="0"/>
    <n v="0"/>
    <n v="-2.4094096462564565"/>
    <n v="0"/>
    <n v="-45.070100309884971"/>
    <m/>
    <m/>
    <m/>
    <n v="9769.1678524749477"/>
    <n v="0"/>
    <n v="0"/>
    <n v="-2082.06675"/>
    <n v="201.5595000000003"/>
    <n v="0"/>
    <n v="0"/>
    <n v="-2239.3229883022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3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5.5570000000000004"/>
    <n v="5.5570000000000004"/>
    <n v="5.5570000000000004"/>
    <n v="5.5570000000000004"/>
    <m/>
    <n v="561.96"/>
    <n v="243.39"/>
    <m/>
    <n v="4475.3299500000012"/>
    <n v="4475.3299500000012"/>
    <n v="4036.71594"/>
    <n v="0"/>
    <n v="0"/>
    <n v="0"/>
    <n v="0"/>
    <n v="0"/>
    <n v="651.21963759362529"/>
    <n v="2278.5840821071688"/>
    <n v="1352.5029193605908"/>
    <n v="0"/>
    <n v="0"/>
    <n v="0"/>
    <n v="0"/>
    <n v="0"/>
    <n v="0"/>
    <m/>
    <n v="9.5406544818135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4884131320951"/>
    <n v="0"/>
    <n v="45.33"/>
    <n v="209.11"/>
    <n v="692.17"/>
    <n v="52"/>
    <m/>
    <m/>
    <m/>
    <m/>
    <m/>
    <m/>
    <m/>
    <m/>
    <m/>
    <n v="1535.9913324926858"/>
    <m/>
    <m/>
    <m/>
    <m/>
    <m/>
    <m/>
    <m/>
    <m/>
    <m/>
    <m/>
    <m/>
    <m/>
    <n v="4038.8951999999999"/>
    <n v="-436.46475000000191"/>
    <m/>
    <m/>
    <m/>
    <m/>
    <n v="-485.62623000000025"/>
    <n v="47.012220000000049"/>
    <n v="31"/>
    <n v="83.704012042281647"/>
    <n v="0"/>
    <n v="0"/>
    <n v="0"/>
    <n v="0"/>
    <n v="0"/>
    <n v="0"/>
    <n v="0"/>
    <n v="24.414626822246191"/>
    <n v="0"/>
    <n v="0"/>
    <n v="61.958032618550988"/>
    <n v="0"/>
    <n v="0"/>
    <n v="0"/>
    <n v="8.4055870957666059"/>
    <n v="0"/>
    <n v="0"/>
    <m/>
    <n v="0"/>
    <n v="0"/>
    <n v="0"/>
    <n v="0"/>
    <n v="0"/>
    <n v="-0.56197647027270392"/>
    <n v="0"/>
    <n v="-10.512258024009689"/>
    <m/>
    <m/>
    <m/>
    <n v="2278.5840821071688"/>
    <n v="0"/>
    <n v="0"/>
    <n v="-485.62623000000031"/>
    <n v="47.012219999999843"/>
    <n v="0"/>
    <n v="0"/>
    <n v="-522.3050512485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4"/>
    <s v="Regular"/>
    <s v="Convencional"/>
    <s v="B3"/>
    <s v="Industrial"/>
    <s v="Não se aplica"/>
    <s v="Não se aplica"/>
    <s v="Não se aplica"/>
    <s v="Não se aplica"/>
    <s v="CATIVO"/>
    <x v="2"/>
    <n v="0"/>
    <n v="0"/>
    <n v="0.35699999999999998"/>
    <n v="0.35699999999999998"/>
    <n v="0.35699999999999998"/>
    <n v="0.35699999999999998"/>
    <m/>
    <n v="597.01"/>
    <n v="243.39"/>
    <m/>
    <n v="300.02279999999996"/>
    <n v="300.02279999999996"/>
    <n v="271.77696000000003"/>
    <n v="0"/>
    <n v="8.8834014550755427"/>
    <n v="0"/>
    <n v="0"/>
    <n v="0"/>
    <n v="41.836496422696456"/>
    <n v="146.38375334033816"/>
    <n v="86.889246394049096"/>
    <n v="0"/>
    <n v="0"/>
    <n v="0"/>
    <n v="0"/>
    <n v="0"/>
    <n v="3.6267954246724408"/>
    <m/>
    <n v="0.61292309699612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87900573719263"/>
    <n v="0"/>
    <n v="0"/>
    <n v="0"/>
    <n v="0"/>
    <n v="3"/>
    <m/>
    <m/>
    <m/>
    <m/>
    <m/>
    <m/>
    <m/>
    <m/>
    <m/>
    <n v="98.677146967768351"/>
    <m/>
    <m/>
    <m/>
    <m/>
    <m/>
    <m/>
    <m/>
    <m/>
    <m/>
    <m/>
    <m/>
    <m/>
    <n v="274.06079999999997"/>
    <n v="-25.991999999999962"/>
    <m/>
    <m/>
    <m/>
    <m/>
    <n v="-31.266059999999992"/>
    <n v="3.0202200000000028"/>
    <n v="31"/>
    <n v="5.3099548148743168"/>
    <n v="0"/>
    <n v="0"/>
    <n v="0"/>
    <n v="0"/>
    <n v="0"/>
    <n v="0"/>
    <n v="0"/>
    <n v="1.5684761158074352"/>
    <n v="0"/>
    <n v="0"/>
    <n v="3.9803882751165531"/>
    <n v="0"/>
    <n v="0"/>
    <n v="0"/>
    <n v="0.54000262609117833"/>
    <n v="0"/>
    <n v="-6.4785587216949381E-2"/>
    <m/>
    <n v="0"/>
    <n v="0"/>
    <n v="0"/>
    <n v="0"/>
    <n v="-2.0342522238284477E-2"/>
    <n v="-3.610322114222686E-2"/>
    <n v="0"/>
    <n v="-0.65768087154333832"/>
    <m/>
    <m/>
    <m/>
    <n v="146.38375334033816"/>
    <n v="0"/>
    <n v="0"/>
    <n v="-31.266059999999982"/>
    <n v="3.020220000000009"/>
    <n v="0"/>
    <n v="0"/>
    <n v="-33.55459839764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5"/>
    <s v="Regular"/>
    <s v="Verde"/>
    <s v="A4"/>
    <s v="Industrial"/>
    <s v="Não se aplica"/>
    <s v="Não se aplica"/>
    <s v="Não se aplica"/>
    <s v="Ponta"/>
    <s v="CATIVO"/>
    <x v="2"/>
    <n v="0"/>
    <n v="0"/>
    <n v="0.23699999999999999"/>
    <n v="0.23699999999999999"/>
    <n v="0.23699999999999999"/>
    <n v="0.23699999999999999"/>
    <m/>
    <n v="2773.91"/>
    <n v="243.39"/>
    <m/>
    <n v="715.1001"/>
    <n v="715.1001"/>
    <n v="615.57668999999999"/>
    <n v="0"/>
    <n v="5.1307242185490898"/>
    <n v="0"/>
    <n v="0"/>
    <n v="0"/>
    <n v="170.76028206610457"/>
    <n v="475.36171900195296"/>
    <n v="57.68277701789814"/>
    <n v="0"/>
    <n v="0"/>
    <n v="0"/>
    <n v="0"/>
    <n v="0"/>
    <n v="2.4077045256228806"/>
    <m/>
    <n v="0.1644018095469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927135566791844"/>
    <n v="0"/>
    <n v="0"/>
    <n v="0"/>
    <n v="0"/>
    <n v="0"/>
    <m/>
    <m/>
    <m/>
    <m/>
    <m/>
    <m/>
    <m/>
    <m/>
    <m/>
    <n v="61.275490574577326"/>
    <m/>
    <m/>
    <m/>
    <m/>
    <m/>
    <m/>
    <m/>
    <m/>
    <m/>
    <m/>
    <m/>
    <m/>
    <n v="623.36879999999996"/>
    <n v="-91.761300000000006"/>
    <m/>
    <m/>
    <m/>
    <m/>
    <n v="-101.52842999999997"/>
    <n v="2.0050200000000018"/>
    <n v="31"/>
    <n v="9.4400738532896469"/>
    <n v="0"/>
    <n v="0"/>
    <n v="0"/>
    <n v="0"/>
    <n v="0"/>
    <n v="0"/>
    <n v="0"/>
    <n v="6.4019085451883768"/>
    <n v="0"/>
    <n v="0"/>
    <n v="2.6424426364219187"/>
    <n v="0"/>
    <n v="0"/>
    <n v="0"/>
    <n v="0.16458187302035299"/>
    <n v="0"/>
    <n v="-3.7417759743030743E-2"/>
    <m/>
    <n v="0"/>
    <n v="0"/>
    <n v="0"/>
    <n v="0"/>
    <n v="-1.3504699637180373E-2"/>
    <n v="-9.6838166408577397E-3"/>
    <n v="0"/>
    <n v="0.29174707468005801"/>
    <m/>
    <m/>
    <m/>
    <n v="475.36171900195296"/>
    <n v="0"/>
    <n v="0"/>
    <n v="-101.52842999999996"/>
    <n v="2.0050200000000018"/>
    <n v="0"/>
    <n v="0"/>
    <n v="-108.96408386004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6"/>
    <s v="Regular"/>
    <s v="Verde"/>
    <s v="A4"/>
    <s v="Industrial"/>
    <s v="Não se aplica"/>
    <s v="Não se aplica"/>
    <s v="Não se aplica"/>
    <s v="Fora ponta"/>
    <s v="CATIVO"/>
    <x v="2"/>
    <n v="0"/>
    <n v="0"/>
    <n v="22.064"/>
    <n v="22.064"/>
    <n v="22.064"/>
    <n v="22.064"/>
    <m/>
    <n v="47.66"/>
    <n v="243.39"/>
    <m/>
    <n v="6421.7271999999994"/>
    <n v="6421.7271999999994"/>
    <n v="6619.6412799999998"/>
    <n v="0"/>
    <n v="477.65527070914402"/>
    <n v="0"/>
    <n v="0"/>
    <n v="0"/>
    <n v="0"/>
    <n v="0"/>
    <n v="5370.0961692949568"/>
    <n v="0"/>
    <n v="0"/>
    <n v="0"/>
    <n v="0"/>
    <n v="0"/>
    <n v="224.15017997191242"/>
    <m/>
    <n v="15.305322893859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4.47102073658033"/>
    <n v="0"/>
    <n v="0"/>
    <n v="0"/>
    <n v="0"/>
    <n v="0"/>
    <m/>
    <m/>
    <m/>
    <m/>
    <m/>
    <m/>
    <m/>
    <m/>
    <m/>
    <n v="5704.5671900315374"/>
    <m/>
    <m/>
    <m/>
    <m/>
    <m/>
    <m/>
    <m/>
    <m/>
    <m/>
    <m/>
    <m/>
    <m/>
    <n v="6618.4411999999993"/>
    <n v="196.68399999999929"/>
    <m/>
    <m/>
    <m/>
    <m/>
    <n v="11.252640000000113"/>
    <n v="186.66144000000017"/>
    <n v="31"/>
    <n v="197.92470598192358"/>
    <n v="0"/>
    <n v="0"/>
    <n v="0"/>
    <n v="0"/>
    <n v="0"/>
    <n v="0"/>
    <n v="0"/>
    <n v="0"/>
    <n v="0"/>
    <n v="0"/>
    <n v="246.00360476798778"/>
    <n v="0"/>
    <n v="0"/>
    <n v="0"/>
    <n v="15.32208627139687"/>
    <n v="0"/>
    <n v="-3.4834829154862632"/>
    <m/>
    <n v="0"/>
    <n v="0"/>
    <n v="0"/>
    <n v="0"/>
    <n v="-1.2572476489229985"/>
    <n v="-0.90153472727377704"/>
    <n v="0"/>
    <n v="-57.758719765778473"/>
    <m/>
    <m/>
    <m/>
    <n v="0"/>
    <n v="0"/>
    <n v="0"/>
    <n v="11.252639999999928"/>
    <n v="186.66144000000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7"/>
    <s v="Regular"/>
    <s v="Verde"/>
    <s v="A4"/>
    <s v="Industrial"/>
    <s v="Não se aplica"/>
    <s v="Não se aplica"/>
    <s v="Não se aplica"/>
    <s v="Não se aplica"/>
    <s v="CATIVO"/>
    <x v="2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n v="31"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68"/>
    <s v="Regular"/>
    <s v="Convencional"/>
    <s v="B3"/>
    <s v="Comercial"/>
    <s v="Não se aplica"/>
    <s v="Não se aplica"/>
    <s v="Não se aplica"/>
    <s v="Não se aplica"/>
    <s v="CATIVO"/>
    <x v="2"/>
    <n v="0"/>
    <n v="0"/>
    <n v="51.213000000000001"/>
    <n v="51.213000000000001"/>
    <n v="51.213000000000001"/>
    <n v="51.213000000000001"/>
    <m/>
    <n v="597.01"/>
    <n v="243.39"/>
    <m/>
    <n v="43039.405200000001"/>
    <n v="43039.405200000001"/>
    <n v="38987.432639999999"/>
    <n v="0"/>
    <n v="1274.3575314251648"/>
    <n v="0"/>
    <n v="0"/>
    <n v="0"/>
    <n v="6001.6036170743801"/>
    <n v="20999.302968679938"/>
    <n v="12464.590968006825"/>
    <n v="0"/>
    <n v="0"/>
    <n v="0"/>
    <n v="0"/>
    <n v="0"/>
    <n v="520.27751844187594"/>
    <m/>
    <n v="87.9261360405106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1.0189133946349"/>
    <n v="0"/>
    <n v="62.76"/>
    <n v="289.88"/>
    <n v="3664.55"/>
    <n v="207"/>
    <m/>
    <m/>
    <m/>
    <m/>
    <m/>
    <m/>
    <m/>
    <m/>
    <m/>
    <n v="14155.60988140146"/>
    <m/>
    <m/>
    <m/>
    <m/>
    <m/>
    <m/>
    <m/>
    <m/>
    <m/>
    <m/>
    <m/>
    <m/>
    <n v="38985.148799999995"/>
    <n v="-4054.2864000000045"/>
    <m/>
    <m/>
    <m/>
    <m/>
    <n v="-4485.2345399999995"/>
    <n v="433.26198000000039"/>
    <n v="31"/>
    <n v="761.73309785479432"/>
    <n v="0"/>
    <n v="0"/>
    <n v="0"/>
    <n v="0"/>
    <n v="0"/>
    <n v="0"/>
    <n v="0"/>
    <n v="225.00383002477884"/>
    <n v="0"/>
    <n v="0"/>
    <n v="571.00174995390626"/>
    <n v="0"/>
    <n v="0"/>
    <n v="0"/>
    <n v="77.465418739516963"/>
    <n v="0"/>
    <n v="-9.2937374737862228"/>
    <m/>
    <n v="0"/>
    <n v="0"/>
    <n v="0"/>
    <n v="0"/>
    <n v="-2.9182117405861163"/>
    <n v="-5.1791435976382871"/>
    <n v="0"/>
    <n v="-94.346808051397716"/>
    <m/>
    <m/>
    <m/>
    <n v="20999.302968679938"/>
    <n v="0"/>
    <n v="0"/>
    <n v="-4485.2345399999977"/>
    <n v="433.26197999999931"/>
    <n v="0"/>
    <n v="0"/>
    <n v="-4813.5340272791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69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6.415"/>
    <n v="6.415"/>
    <n v="6.415"/>
    <n v="6.415"/>
    <m/>
    <n v="597.01"/>
    <n v="243.39"/>
    <m/>
    <n v="5391.1659999999993"/>
    <n v="5391.1659999999993"/>
    <n v="4883.6111999999994"/>
    <n v="0"/>
    <n v="159.62750793924261"/>
    <n v="0"/>
    <n v="0"/>
    <n v="0"/>
    <n v="751.76785588682856"/>
    <n v="2630.3971363536953"/>
    <n v="1561.32917540007"/>
    <n v="0"/>
    <n v="0"/>
    <n v="0"/>
    <n v="0"/>
    <n v="0"/>
    <n v="65.170567645024391"/>
    <m/>
    <n v="11.013730160308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.81899770422712"/>
    <n v="0"/>
    <n v="0"/>
    <n v="0"/>
    <n v="0"/>
    <n v="6"/>
    <m/>
    <m/>
    <m/>
    <m/>
    <m/>
    <m/>
    <m/>
    <m/>
    <m/>
    <n v="1773.148173104297"/>
    <m/>
    <m/>
    <m/>
    <m/>
    <m/>
    <m/>
    <m/>
    <m/>
    <m/>
    <m/>
    <m/>
    <m/>
    <n v="4887.4175999999998"/>
    <n v="-503.77840000000015"/>
    <m/>
    <m/>
    <m/>
    <m/>
    <n v="-561.82569999999987"/>
    <n v="54.270900000000054"/>
    <n v="31"/>
    <n v="95.4155746146198"/>
    <n v="0"/>
    <n v="0"/>
    <n v="0"/>
    <n v="0"/>
    <n v="0"/>
    <n v="0"/>
    <n v="0"/>
    <n v="28.184241688808584"/>
    <n v="0"/>
    <n v="0"/>
    <n v="71.524343935217757"/>
    <n v="0"/>
    <n v="0"/>
    <n v="0"/>
    <n v="9.7034085332630298"/>
    <n v="0"/>
    <n v="-1.1641443753409817"/>
    <m/>
    <n v="0"/>
    <n v="0"/>
    <n v="0"/>
    <n v="0"/>
    <n v="-0.36553859988401882"/>
    <n v="-0.64874555637923059"/>
    <n v="0"/>
    <n v="-11.817991011065867"/>
    <m/>
    <m/>
    <m/>
    <n v="2630.3971363536953"/>
    <n v="0"/>
    <n v="0"/>
    <n v="-561.82569999999987"/>
    <n v="54.270899999999983"/>
    <n v="0"/>
    <n v="0"/>
    <n v="-602.94887596890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0"/>
    <s v="Regular"/>
    <s v="Branca"/>
    <s v="B3"/>
    <s v="Comercial"/>
    <s v="Não se aplica"/>
    <s v="Não se aplica"/>
    <s v="Não se aplica"/>
    <s v="Ponta"/>
    <s v="CATIVO"/>
    <x v="2"/>
    <n v="0"/>
    <n v="0"/>
    <n v="1.4E-2"/>
    <n v="1.4E-2"/>
    <n v="1.4E-2"/>
    <n v="1.4E-2"/>
    <m/>
    <n v="1783.27"/>
    <n v="243.39"/>
    <m/>
    <n v="28.373239999999999"/>
    <n v="28.373239999999999"/>
    <n v="24.46668"/>
    <n v="0"/>
    <n v="0.34836868451276642"/>
    <n v="0"/>
    <n v="0"/>
    <n v="0"/>
    <n v="5.3321053184552305"/>
    <n v="18.656760424556801"/>
    <n v="3.4074214272176118"/>
    <n v="0"/>
    <n v="0"/>
    <n v="0"/>
    <n v="0"/>
    <n v="0"/>
    <n v="0.14222727155578199"/>
    <m/>
    <n v="2.4036199882200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6227061073408876"/>
    <n v="0"/>
    <n v="0"/>
    <n v="0"/>
    <n v="0"/>
    <n v="0"/>
    <m/>
    <m/>
    <m/>
    <m/>
    <m/>
    <m/>
    <m/>
    <m/>
    <m/>
    <n v="3.8696920379517006"/>
    <m/>
    <m/>
    <m/>
    <m/>
    <m/>
    <m/>
    <m/>
    <m/>
    <m/>
    <m/>
    <m/>
    <m/>
    <n v="17.476200000000002"/>
    <n v="-10.927040000000002"/>
    <m/>
    <m/>
    <m/>
    <m/>
    <n v="-4.0250000000000004"/>
    <n v="0.11844000000000011"/>
    <n v="31"/>
    <n v="0.3700744310247952"/>
    <n v="0"/>
    <n v="0"/>
    <n v="0"/>
    <n v="0"/>
    <n v="0"/>
    <n v="0"/>
    <n v="0"/>
    <n v="0.19990392490009157"/>
    <n v="0"/>
    <n v="0"/>
    <n v="0.15609365784770812"/>
    <n v="0"/>
    <n v="0"/>
    <n v="0"/>
    <n v="2.1176573572203095E-2"/>
    <n v="0"/>
    <n v="-2.5406112634098199E-3"/>
    <m/>
    <n v="0"/>
    <n v="0"/>
    <n v="0"/>
    <n v="0"/>
    <n v="-7.9774597012879922E-4"/>
    <n v="-1.4158125938128173E-3"/>
    <n v="0"/>
    <n v="-2.3455554678578419E-3"/>
    <m/>
    <m/>
    <m/>
    <n v="18.656760424556801"/>
    <n v="0"/>
    <n v="0"/>
    <n v="-4.0249999999999986"/>
    <n v="0.1184400000000001"/>
    <n v="0"/>
    <n v="0"/>
    <n v="-4.2765681925891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1"/>
    <s v="Regular"/>
    <s v="Branca"/>
    <s v="B3"/>
    <s v="Comercial"/>
    <s v="Não se aplica"/>
    <s v="Não se aplica"/>
    <s v="Não se aplica"/>
    <s v="Fora ponta"/>
    <s v="CATIVO"/>
    <x v="2"/>
    <n v="0"/>
    <n v="0"/>
    <n v="0.34399999999999997"/>
    <n v="0.34399999999999997"/>
    <n v="0.34399999999999997"/>
    <n v="0.34399999999999997"/>
    <m/>
    <n v="412.48"/>
    <n v="243.39"/>
    <m/>
    <n v="225.61927999999997"/>
    <n v="225.61927999999997"/>
    <n v="209.10039999999998"/>
    <n v="0"/>
    <n v="8.5599162480279745"/>
    <n v="0"/>
    <n v="0"/>
    <n v="0"/>
    <n v="26.203902711537292"/>
    <n v="91.684689934235109"/>
    <n v="83.725212211632737"/>
    <n v="0"/>
    <n v="0"/>
    <n v="0"/>
    <n v="0"/>
    <n v="0"/>
    <n v="3.4947272439420716"/>
    <m/>
    <n v="0.5906037685340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358649292323323"/>
    <n v="0"/>
    <n v="0"/>
    <n v="0"/>
    <n v="0"/>
    <n v="0"/>
    <m/>
    <m/>
    <m/>
    <m/>
    <m/>
    <m/>
    <m/>
    <m/>
    <m/>
    <n v="95.083861503956058"/>
    <m/>
    <m/>
    <m/>
    <m/>
    <m/>
    <m/>
    <m/>
    <m/>
    <m/>
    <m/>
    <m/>
    <m/>
    <n v="206.66900000000001"/>
    <n v="-18.980279999999937"/>
    <m/>
    <m/>
    <m/>
    <m/>
    <n v="-19.429120000000005"/>
    <n v="2.9102400000000026"/>
    <n v="31"/>
    <n v="4.4980204026432205"/>
    <n v="0"/>
    <n v="0"/>
    <n v="0"/>
    <n v="0"/>
    <n v="0"/>
    <n v="0"/>
    <n v="0"/>
    <n v="0.98240051290927255"/>
    <n v="0"/>
    <n v="0"/>
    <n v="3.8354441642579786"/>
    <n v="0"/>
    <n v="0"/>
    <n v="0"/>
    <n v="0.52033866491698966"/>
    <n v="0"/>
    <n v="-6.2426448186641892E-2"/>
    <m/>
    <n v="0"/>
    <n v="0"/>
    <n v="0"/>
    <n v="0"/>
    <n v="-1.9601758123164892E-2"/>
    <n v="-3.4788538019400628E-2"/>
    <n v="0"/>
    <n v="-0.72334619511181397"/>
    <m/>
    <m/>
    <m/>
    <n v="91.684689934235109"/>
    <n v="0"/>
    <n v="0"/>
    <n v="-19.429119999999998"/>
    <n v="2.9102400000000017"/>
    <n v="0"/>
    <n v="0"/>
    <n v="-21.01628684710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2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73"/>
    <s v="Regular"/>
    <s v="Branca"/>
    <s v="B3"/>
    <s v="Comercial"/>
    <s v="Não se aplica"/>
    <s v="Não se aplica"/>
    <s v="Não se aplica"/>
    <s v="Intermediário"/>
    <s v="CATIVO"/>
    <x v="2"/>
    <n v="0"/>
    <n v="0"/>
    <n v="1.9E-2"/>
    <n v="1.9E-2"/>
    <n v="1.9E-2"/>
    <n v="1.9E-2"/>
    <m/>
    <n v="1097.8699999999999"/>
    <n v="243.39"/>
    <m/>
    <n v="25.483939999999997"/>
    <n v="25.483939999999997"/>
    <n v="22.376869999999997"/>
    <n v="0"/>
    <n v="0.47278607183875437"/>
    <n v="0"/>
    <n v="0"/>
    <n v="0"/>
    <n v="4.3418905850658511"/>
    <n v="15.191930994496504"/>
    <n v="4.6243576512239013"/>
    <n v="0"/>
    <n v="0"/>
    <n v="0"/>
    <n v="0"/>
    <n v="0"/>
    <n v="0.19302272568284698"/>
    <m/>
    <n v="3.26205569829867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2736725742483479"/>
    <n v="0"/>
    <n v="0"/>
    <n v="0"/>
    <n v="0"/>
    <n v="0"/>
    <m/>
    <m/>
    <m/>
    <m/>
    <m/>
    <m/>
    <m/>
    <m/>
    <m/>
    <n v="5.2517249086487361"/>
    <m/>
    <m/>
    <m/>
    <m/>
    <m/>
    <m/>
    <m/>
    <m/>
    <m/>
    <m/>
    <m/>
    <m/>
    <n v="23.554600000000001"/>
    <n v="-1.959340000000001"/>
    <m/>
    <m/>
    <m/>
    <m/>
    <n v="-3.2678099999999981"/>
    <n v="0.16074000000000016"/>
    <n v="31"/>
    <n v="0.37534137176531068"/>
    <n v="0"/>
    <n v="0"/>
    <n v="0"/>
    <n v="0"/>
    <n v="0"/>
    <n v="0"/>
    <n v="0"/>
    <n v="0.16278016235675441"/>
    <n v="0"/>
    <n v="0"/>
    <n v="0.21184139279331848"/>
    <n v="0"/>
    <n v="0"/>
    <n v="0"/>
    <n v="2.8739635562275545E-2"/>
    <n v="0"/>
    <n v="-3.4479724289132596E-3"/>
    <m/>
    <n v="0"/>
    <n v="0"/>
    <n v="0"/>
    <n v="0"/>
    <n v="-1.0826552451747851E-3"/>
    <n v="-1.9214599487459676E-3"/>
    <n v="0"/>
    <n v="-2.1567731324201651E-2"/>
    <m/>
    <m/>
    <m/>
    <n v="15.191930994496504"/>
    <n v="0"/>
    <n v="0"/>
    <n v="-3.2678099999999972"/>
    <n v="0.16074000000000055"/>
    <n v="0"/>
    <n v="0"/>
    <n v="-3.4823478136942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4"/>
    <s v="Regular"/>
    <s v="Convencional"/>
    <s v="B2"/>
    <s v="Rural"/>
    <s v="Não se aplica"/>
    <s v="Não se aplica"/>
    <s v="Não se aplica"/>
    <s v="Não se aplica"/>
    <s v="CATIVO"/>
    <x v="2"/>
    <n v="0"/>
    <n v="0"/>
    <n v="182.971"/>
    <n v="182.971"/>
    <n v="182.971"/>
    <n v="182.971"/>
    <m/>
    <n v="597.01"/>
    <n v="243.39"/>
    <m/>
    <n v="153768.8284"/>
    <n v="153768.8284"/>
    <n v="139292.16288000002"/>
    <n v="0"/>
    <n v="4552.9547552846707"/>
    <n v="0"/>
    <n v="0"/>
    <n v="0"/>
    <n v="21442.200523689618"/>
    <n v="75025.158914383792"/>
    <n v="44532.807568530974"/>
    <n v="0"/>
    <n v="0"/>
    <n v="0"/>
    <n v="0"/>
    <n v="0"/>
    <n v="1858.8190074166419"/>
    <m/>
    <n v="314.13768061758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41.5797083304969"/>
    <n v="0"/>
    <n v="100.66"/>
    <n v="465.28"/>
    <n v="0"/>
    <n v="1807"/>
    <m/>
    <m/>
    <m/>
    <m/>
    <m/>
    <n v="16716.230559999996"/>
    <m/>
    <m/>
    <m/>
    <n v="50574.387276861467"/>
    <m/>
    <m/>
    <m/>
    <m/>
    <m/>
    <m/>
    <m/>
    <m/>
    <m/>
    <m/>
    <m/>
    <m/>
    <n v="122575.26240000001"/>
    <n v="-12740.970650000003"/>
    <m/>
    <m/>
    <m/>
    <m/>
    <n v="-16024.600179999998"/>
    <n v="1547.9346600000015"/>
    <n v="31"/>
    <n v="2721.4782701186923"/>
    <n v="0"/>
    <n v="0"/>
    <n v="0"/>
    <n v="0"/>
    <n v="0"/>
    <n v="0"/>
    <n v="0"/>
    <n v="803.88135402073385"/>
    <n v="0"/>
    <n v="0"/>
    <n v="2040.0437621466481"/>
    <n v="0"/>
    <n v="0"/>
    <n v="0"/>
    <n v="276.76420307711214"/>
    <n v="0"/>
    <n v="-33.204155962668665"/>
    <m/>
    <n v="0"/>
    <n v="0"/>
    <n v="0"/>
    <n v="0"/>
    <n v="-10.426026992888183"/>
    <n v="-18.503760435894662"/>
    <n v="0"/>
    <n v="-337.07710573433098"/>
    <m/>
    <m/>
    <m/>
    <n v="75025.158914383792"/>
    <n v="0"/>
    <n v="0"/>
    <n v="-16024.600179999994"/>
    <n v="1547.9346600000063"/>
    <n v="0"/>
    <n v="0"/>
    <n v="-17197.530597803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5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1.875"/>
    <n v="1.875"/>
    <n v="1.875"/>
    <n v="1.875"/>
    <m/>
    <n v="597.01"/>
    <n v="243.39"/>
    <m/>
    <n v="1575.75"/>
    <n v="1575.75"/>
    <n v="1427.4"/>
    <n v="0"/>
    <n v="46.656520247245503"/>
    <n v="0"/>
    <n v="0"/>
    <n v="0"/>
    <n v="219.72949801836376"/>
    <n v="768.82223393034747"/>
    <n v="456.35108400235873"/>
    <n v="0"/>
    <n v="0"/>
    <n v="0"/>
    <n v="0"/>
    <n v="0"/>
    <n v="19.048295297649375"/>
    <m/>
    <n v="3.2191339127947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.911242509029748"/>
    <n v="0"/>
    <n v="0"/>
    <n v="0"/>
    <n v="0"/>
    <n v="6"/>
    <m/>
    <m/>
    <m/>
    <m/>
    <m/>
    <n v="171.29999999999995"/>
    <m/>
    <m/>
    <m/>
    <n v="518.26232651138844"/>
    <m/>
    <m/>
    <m/>
    <m/>
    <m/>
    <m/>
    <m/>
    <m/>
    <m/>
    <m/>
    <m/>
    <m/>
    <n v="1259.4495999999999"/>
    <n v="-127.23665000000005"/>
    <m/>
    <m/>
    <m/>
    <m/>
    <n v="-164.21249999999998"/>
    <n v="15.862500000000015"/>
    <n v="31"/>
    <n v="27.888418145348624"/>
    <n v="0"/>
    <n v="0"/>
    <n v="0"/>
    <n v="0"/>
    <n v="0"/>
    <n v="0"/>
    <n v="0"/>
    <n v="8.2377947258793824"/>
    <n v="0"/>
    <n v="0"/>
    <n v="20.905400604603756"/>
    <n v="0"/>
    <n v="0"/>
    <n v="0"/>
    <n v="2.8361482462771903"/>
    <n v="0"/>
    <n v="-0.34026043706381159"/>
    <m/>
    <n v="0"/>
    <n v="0"/>
    <n v="0"/>
    <n v="0"/>
    <n v="-0.10684097814225169"/>
    <n v="-0.18961775809993098"/>
    <n v="0"/>
    <n v="-3.4542062581057689"/>
    <m/>
    <m/>
    <m/>
    <n v="768.82223393034747"/>
    <n v="0"/>
    <n v="0"/>
    <n v="-164.21249999999998"/>
    <n v="15.862500000000011"/>
    <n v="0"/>
    <n v="0"/>
    <n v="-176.23213444141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6"/>
    <s v="Regular"/>
    <s v="Branca"/>
    <s v="B2"/>
    <s v="Rural"/>
    <s v="Não se aplica"/>
    <s v="Não se aplica"/>
    <s v="Não se aplica"/>
    <s v="Ponta"/>
    <s v="CATIVO"/>
    <x v="2"/>
    <n v="0"/>
    <n v="0"/>
    <n v="2.9000000000000001E-2"/>
    <n v="2.9000000000000001E-2"/>
    <n v="2.9000000000000001E-2"/>
    <n v="2.9000000000000001E-2"/>
    <m/>
    <n v="1298.56"/>
    <n v="214.18"/>
    <m/>
    <n v="43.869460000000004"/>
    <n v="43.869460000000004"/>
    <n v="38.071490000000004"/>
    <n v="0"/>
    <n v="0.63502634491184318"/>
    <n v="0"/>
    <n v="0"/>
    <n v="0"/>
    <n v="7.974657968093541"/>
    <n v="27.902808653871141"/>
    <n v="6.2112424873281027"/>
    <n v="0"/>
    <n v="0"/>
    <n v="0"/>
    <n v="0"/>
    <n v="0"/>
    <n v="0.25925999786453952"/>
    <m/>
    <n v="4.381455864241186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4265328470956768"/>
    <n v="0"/>
    <n v="0"/>
    <n v="0"/>
    <n v="0"/>
    <n v="0"/>
    <m/>
    <m/>
    <m/>
    <m/>
    <m/>
    <m/>
    <m/>
    <m/>
    <m/>
    <n v="7.05389577203767"/>
    <m/>
    <m/>
    <m/>
    <m/>
    <m/>
    <m/>
    <m/>
    <m/>
    <m/>
    <m/>
    <m/>
    <m/>
    <n v="39.384299999999996"/>
    <n v="-4.5151600000000016"/>
    <m/>
    <m/>
    <m/>
    <m/>
    <n v="-6.0140199999999968"/>
    <n v="0.21604999999999969"/>
    <n v="31"/>
    <n v="0.59808801997200156"/>
    <n v="0"/>
    <n v="0"/>
    <n v="0"/>
    <n v="0"/>
    <n v="0"/>
    <n v="0"/>
    <n v="0"/>
    <n v="0.29897485746205188"/>
    <n v="0"/>
    <n v="0"/>
    <n v="0.28453643916238391"/>
    <n v="0"/>
    <n v="0"/>
    <n v="0"/>
    <n v="3.8601868397331263E-2"/>
    <n v="0"/>
    <n v="-4.6311713887294825E-3"/>
    <m/>
    <n v="0"/>
    <n v="0"/>
    <n v="0"/>
    <n v="0"/>
    <n v="-1.4541769398334625E-3"/>
    <n v="-2.5808240995789586E-3"/>
    <n v="0"/>
    <n v="-1.5358972621622224E-2"/>
    <m/>
    <m/>
    <m/>
    <n v="27.902808653871141"/>
    <n v="0"/>
    <n v="0"/>
    <n v="-6.014019999999995"/>
    <n v="0.21604999999999919"/>
    <n v="0"/>
    <n v="0"/>
    <n v="-6.39597986239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7"/>
    <s v="Regular"/>
    <s v="Branca"/>
    <s v="B2"/>
    <s v="Rural"/>
    <s v="Não se aplica"/>
    <s v="Não se aplica"/>
    <s v="Não se aplica"/>
    <s v="Fora ponta"/>
    <s v="CATIVO"/>
    <x v="2"/>
    <n v="0"/>
    <n v="0"/>
    <n v="0.41899999999999998"/>
    <n v="0.41899999999999998"/>
    <n v="0.41899999999999998"/>
    <n v="0.41899999999999998"/>
    <m/>
    <n v="308.83999999999997"/>
    <n v="214.18"/>
    <m/>
    <n v="219.14537999999999"/>
    <n v="219.14537999999999"/>
    <n v="205.26390999999998"/>
    <n v="0"/>
    <n v="9.175035810967664"/>
    <n v="0"/>
    <n v="0"/>
    <n v="0"/>
    <n v="23.044668289816304"/>
    <n v="80.629536837873843"/>
    <n v="89.741744903119823"/>
    <n v="0"/>
    <n v="0"/>
    <n v="0"/>
    <n v="0"/>
    <n v="0"/>
    <n v="3.7458599691462773"/>
    <m/>
    <n v="0.63304483004036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74887113562374"/>
    <n v="0"/>
    <n v="0"/>
    <n v="0"/>
    <n v="0"/>
    <n v="0"/>
    <m/>
    <m/>
    <m/>
    <m/>
    <m/>
    <m/>
    <m/>
    <m/>
    <m/>
    <n v="101.9166320166822"/>
    <m/>
    <m/>
    <m/>
    <m/>
    <m/>
    <m/>
    <m/>
    <m/>
    <m/>
    <m/>
    <m/>
    <m/>
    <n v="205.75379999999998"/>
    <n v="-13.421579999999977"/>
    <m/>
    <m/>
    <m/>
    <m/>
    <n v="-17.003019999999992"/>
    <n v="3.1215499999999952"/>
    <n v="31"/>
    <n v="4.6001860436490745"/>
    <n v="0"/>
    <n v="0"/>
    <n v="0"/>
    <n v="0"/>
    <n v="0"/>
    <n v="0"/>
    <n v="0"/>
    <n v="0.86395886127955634"/>
    <n v="0"/>
    <n v="0"/>
    <n v="4.1110609658289263"/>
    <n v="0"/>
    <n v="0"/>
    <n v="0"/>
    <n v="0.55773044339592381"/>
    <n v="0"/>
    <n v="-6.6912441788883115E-2"/>
    <m/>
    <n v="0"/>
    <n v="0"/>
    <n v="0"/>
    <n v="0"/>
    <n v="-2.1010349578973297E-2"/>
    <n v="-3.7288458542192648E-2"/>
    <n v="0"/>
    <n v="-0.80735297694528629"/>
    <m/>
    <m/>
    <m/>
    <n v="80.629536837873843"/>
    <n v="0"/>
    <n v="0"/>
    <n v="-17.003019999999992"/>
    <n v="3.1215499999999849"/>
    <n v="0"/>
    <n v="0"/>
    <n v="-18.482185801677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8"/>
    <s v="Regular"/>
    <s v="Branca"/>
    <s v="B2"/>
    <s v="Rural"/>
    <s v="Não se aplica"/>
    <s v="Não se aplica"/>
    <s v="Não se aplica"/>
    <s v="Não se aplica"/>
    <s v="CATIVO"/>
    <x v="2"/>
    <n v="0"/>
    <n v="0"/>
    <n v="0.27700000000000002"/>
    <n v="0.27700000000000002"/>
    <n v="0.27700000000000002"/>
    <n v="0.27700000000000002"/>
    <m/>
    <n v="597.01"/>
    <n v="243.39"/>
    <m/>
    <n v="232.79079999999999"/>
    <n v="232.79079999999999"/>
    <n v="210.87456"/>
    <n v="0"/>
    <n v="6.8927232578597355"/>
    <n v="0"/>
    <n v="0"/>
    <n v="0"/>
    <n v="32.461371173912937"/>
    <n v="113.58067135931"/>
    <n v="67.418266809948463"/>
    <n v="0"/>
    <n v="0"/>
    <n v="0"/>
    <n v="0"/>
    <n v="0"/>
    <n v="2.814068158639401"/>
    <m/>
    <n v="0.475573383383544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146354226667329"/>
    <n v="0"/>
    <n v="1.31"/>
    <n v="6.02"/>
    <n v="0"/>
    <n v="5"/>
    <m/>
    <m/>
    <m/>
    <m/>
    <m/>
    <n v="25.306719999999999"/>
    <m/>
    <m/>
    <m/>
    <n v="76.56462103661579"/>
    <m/>
    <m/>
    <m/>
    <m/>
    <m/>
    <m/>
    <m/>
    <m/>
    <m/>
    <m/>
    <m/>
    <m/>
    <n v="187.57760000000002"/>
    <n v="-17.30774999999997"/>
    <m/>
    <m/>
    <m/>
    <m/>
    <n v="-24.259659999999997"/>
    <n v="2.3434200000000023"/>
    <n v="31"/>
    <n v="4.120048974006167"/>
    <n v="0"/>
    <n v="0"/>
    <n v="0"/>
    <n v="0"/>
    <n v="0"/>
    <n v="0"/>
    <n v="0"/>
    <n v="1.2169968741699151"/>
    <n v="0"/>
    <n v="0"/>
    <n v="3.0884245159868016"/>
    <n v="0"/>
    <n v="0"/>
    <n v="0"/>
    <n v="0.41899363425001646"/>
    <n v="0"/>
    <n v="-5.0267808568893457E-2"/>
    <m/>
    <n v="0"/>
    <n v="0"/>
    <n v="0"/>
    <n v="0"/>
    <n v="-1.578397383754826E-2"/>
    <n v="-2.8012863463296511E-2"/>
    <n v="0"/>
    <n v="-0.51030140453082551"/>
    <m/>
    <m/>
    <m/>
    <n v="113.58067135931"/>
    <n v="0"/>
    <n v="0"/>
    <n v="-24.259659999999997"/>
    <n v="2.3434199999999947"/>
    <n v="0"/>
    <n v="0"/>
    <n v="-26.035360661478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79"/>
    <s v="Regular"/>
    <s v="Branca"/>
    <s v="B2"/>
    <s v="Rural"/>
    <s v="Não se aplica"/>
    <s v="Não se aplica"/>
    <s v="Não se aplica"/>
    <s v="Intermediário"/>
    <s v="CATIVO"/>
    <x v="2"/>
    <n v="0"/>
    <n v="0"/>
    <n v="1.9E-2"/>
    <n v="1.9E-2"/>
    <n v="1.9E-2"/>
    <n v="1.9E-2"/>
    <m/>
    <n v="803.7"/>
    <n v="214.18"/>
    <m/>
    <n v="19.33972"/>
    <n v="19.33972"/>
    <n v="17.12565"/>
    <n v="0"/>
    <n v="0.41605174321810412"/>
    <n v="0"/>
    <n v="0"/>
    <n v="0"/>
    <n v="3.1348794674293479"/>
    <n v="10.968686535933765"/>
    <n v="4.0694347330770331"/>
    <n v="0"/>
    <n v="0"/>
    <n v="0"/>
    <n v="0"/>
    <n v="0"/>
    <n v="0.16985999860090517"/>
    <m/>
    <n v="2.870609014502846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5208318653385469"/>
    <n v="0"/>
    <n v="0"/>
    <n v="0"/>
    <n v="0"/>
    <n v="0"/>
    <m/>
    <m/>
    <m/>
    <m/>
    <m/>
    <m/>
    <m/>
    <m/>
    <m/>
    <n v="4.6215179196108878"/>
    <m/>
    <m/>
    <m/>
    <m/>
    <m/>
    <m/>
    <m/>
    <m/>
    <m/>
    <m/>
    <m/>
    <m/>
    <n v="18.027000000000001"/>
    <n v="-1.3427199999999999"/>
    <m/>
    <m/>
    <m/>
    <m/>
    <n v="-2.3556200000000005"/>
    <n v="0.14154999999999979"/>
    <n v="31"/>
    <n v="0.30022550249821123"/>
    <n v="0"/>
    <n v="0"/>
    <n v="0"/>
    <n v="0"/>
    <n v="0"/>
    <n v="0"/>
    <n v="0"/>
    <n v="0.11752856933617206"/>
    <n v="0"/>
    <n v="0"/>
    <n v="0.18642042565811323"/>
    <n v="0"/>
    <n v="0"/>
    <n v="0"/>
    <n v="2.5290879294803226E-2"/>
    <n v="0"/>
    <n v="-3.0342157374434464E-3"/>
    <m/>
    <n v="0"/>
    <n v="0"/>
    <n v="0"/>
    <n v="0"/>
    <n v="-9.527366157529582E-4"/>
    <n v="-1.6908847548965621E-3"/>
    <n v="0"/>
    <n v="-2.3336534682783291E-2"/>
    <m/>
    <m/>
    <m/>
    <n v="10.968686535933765"/>
    <n v="0"/>
    <n v="0"/>
    <n v="-2.35562"/>
    <n v="0.14154999999999962"/>
    <n v="0"/>
    <n v="0"/>
    <n v="-2.514280876561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0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3.198"/>
    <n v="13.198"/>
    <n v="13.198"/>
    <n v="13.198"/>
    <m/>
    <n v="597.01"/>
    <n v="243.39"/>
    <m/>
    <n v="11091.599200000001"/>
    <n v="11091.599200000001"/>
    <n v="10047.373439999999"/>
    <n v="0"/>
    <n v="328.41213558567796"/>
    <n v="0"/>
    <n v="0"/>
    <n v="0"/>
    <n v="1546.6612879180614"/>
    <n v="5411.6884498201207"/>
    <n v="3212.2248568870032"/>
    <n v="0"/>
    <n v="0"/>
    <n v="0"/>
    <n v="0"/>
    <n v="0"/>
    <n v="134.07968071380077"/>
    <m/>
    <n v="22.659269003234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5.78910860489316"/>
    <n v="0"/>
    <n v="10.71"/>
    <n v="49.44"/>
    <n v="1202.4000000000001"/>
    <n v="30"/>
    <m/>
    <m/>
    <m/>
    <m/>
    <m/>
    <m/>
    <m/>
    <m/>
    <m/>
    <n v="3648.0139654918962"/>
    <m/>
    <m/>
    <m/>
    <m/>
    <m/>
    <m/>
    <m/>
    <m/>
    <m/>
    <m/>
    <m/>
    <m/>
    <n v="10048.895999999999"/>
    <n v="-1042.7332000000024"/>
    <m/>
    <m/>
    <m/>
    <m/>
    <n v="-1155.8808399999998"/>
    <n v="111.65508000000011"/>
    <n v="31"/>
    <n v="196.3047160972319"/>
    <n v="0"/>
    <n v="0"/>
    <n v="0"/>
    <n v="0"/>
    <n v="0"/>
    <n v="0"/>
    <n v="0"/>
    <n v="57.985287889149731"/>
    <n v="0"/>
    <n v="0"/>
    <n v="147.1517211624323"/>
    <n v="0"/>
    <n v="0"/>
    <n v="0"/>
    <n v="19.963458428995409"/>
    <n v="0"/>
    <n v="-2.3950705324630235"/>
    <m/>
    <n v="0"/>
    <n v="0"/>
    <n v="0"/>
    <n v="0"/>
    <n v="-0.75204652241143322"/>
    <n v="-1.3347067580815413"/>
    <n v="0"/>
    <n v="-24.313927570389296"/>
    <m/>
    <m/>
    <m/>
    <n v="5411.6884498201207"/>
    <n v="0"/>
    <n v="0"/>
    <n v="-1155.8808399999998"/>
    <n v="111.65508"/>
    <n v="0"/>
    <n v="0"/>
    <n v="-1240.4862455241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1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135.209"/>
    <n v="135.209"/>
    <n v="135.209"/>
    <n v="135.209"/>
    <m/>
    <n v="328.35"/>
    <n v="133.86000000000001"/>
    <m/>
    <n v="62494.951890000011"/>
    <n v="62494.951890000011"/>
    <n v="56612.008300000001"/>
    <n v="0"/>
    <n v="1850.4585575255489"/>
    <n v="0"/>
    <n v="0"/>
    <n v="0"/>
    <n v="8714.7590046190508"/>
    <n v="30492.494392063305"/>
    <n v="18099.480290283325"/>
    <n v="0"/>
    <n v="0"/>
    <n v="0"/>
    <n v="0"/>
    <n v="0"/>
    <n v="755.48028127729651"/>
    <m/>
    <n v="127.675057316419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55.480775265004"/>
    <n v="0"/>
    <n v="0"/>
    <n v="0"/>
    <n v="0"/>
    <n v="5"/>
    <m/>
    <m/>
    <m/>
    <m/>
    <m/>
    <m/>
    <m/>
    <m/>
    <m/>
    <n v="20554.96106554833"/>
    <m/>
    <m/>
    <m/>
    <m/>
    <m/>
    <m/>
    <m/>
    <m/>
    <m/>
    <m/>
    <m/>
    <m/>
    <n v="56612.427000000011"/>
    <n v="-5882.5548900000067"/>
    <m/>
    <m/>
    <m/>
    <m/>
    <n v="-6513.0175300000019"/>
    <n v="630.07393999999954"/>
    <n v="31"/>
    <n v="1106.0911045108551"/>
    <n v="0"/>
    <n v="0"/>
    <n v="0"/>
    <n v="0"/>
    <n v="0"/>
    <n v="0"/>
    <n v="0"/>
    <n v="326.72170288012967"/>
    <n v="0"/>
    <n v="0"/>
    <n v="829.13550436869627"/>
    <n v="0"/>
    <n v="0"/>
    <n v="0"/>
    <n v="112.48534534771807"/>
    <n v="0"/>
    <n v="-13.495173540923815"/>
    <m/>
    <n v="0"/>
    <n v="0"/>
    <n v="0"/>
    <n v="0"/>
    <n v="-4.2374527986636394"/>
    <n v="-7.5204880534473943"/>
    <n v="0"/>
    <n v="-136.99833369265281"/>
    <m/>
    <m/>
    <m/>
    <n v="30492.494392063305"/>
    <n v="0"/>
    <n v="0"/>
    <n v="-6513.0175300000046"/>
    <n v="630.0739399999984"/>
    <n v="0"/>
    <n v="0"/>
    <n v="-6989.5967286024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2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64.19"/>
    <n v="60.3386"/>
    <n v="64.19"/>
    <n v="60.3386"/>
    <m/>
    <n v="597.01"/>
    <n v="243.39"/>
    <m/>
    <n v="53945.275999999998"/>
    <n v="53945.275999999998"/>
    <n v="48866.563199999997"/>
    <n v="0"/>
    <n v="1597.270418491034"/>
    <n v="0"/>
    <n v="0"/>
    <n v="0"/>
    <n v="7522.3661214926769"/>
    <n v="26320.372904527467"/>
    <n v="15623.027243792751"/>
    <n v="0"/>
    <n v="0"/>
    <n v="0"/>
    <n v="0"/>
    <n v="0"/>
    <n v="652.11204008326035"/>
    <m/>
    <n v="110.20597645989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9.5107502157971"/>
    <n v="0"/>
    <n v="0"/>
    <n v="0"/>
    <n v="0"/>
    <n v="9"/>
    <m/>
    <m/>
    <m/>
    <m/>
    <n v="2931.9937919999988"/>
    <m/>
    <m/>
    <m/>
    <m/>
    <n v="17742.537994008548"/>
    <m/>
    <m/>
    <m/>
    <m/>
    <m/>
    <m/>
    <m/>
    <m/>
    <m/>
    <m/>
    <m/>
    <m/>
    <n v="45935.635200000004"/>
    <n v="-4772.9542399999991"/>
    <m/>
    <m/>
    <m/>
    <m/>
    <n v="-5621.7601999999988"/>
    <n v="543.04740000000049"/>
    <n v="31"/>
    <n v="954.75069906662975"/>
    <n v="0"/>
    <n v="0"/>
    <n v="0"/>
    <n v="0"/>
    <n v="0"/>
    <n v="0"/>
    <n v="0"/>
    <n v="282.01815650890512"/>
    <n v="0"/>
    <n v="0"/>
    <n v="715.6894212317402"/>
    <n v="0"/>
    <n v="0"/>
    <n v="0"/>
    <n v="97.094589828550852"/>
    <n v="0"/>
    <n v="-11.648702642733952"/>
    <m/>
    <n v="0"/>
    <n v="0"/>
    <n v="0"/>
    <n v="0"/>
    <n v="-3.657665273040493"/>
    <n v="-6.4915007426317715"/>
    <n v="0"/>
    <n v="-118.25359984416494"/>
    <m/>
    <m/>
    <m/>
    <n v="26320.372904527467"/>
    <n v="0"/>
    <n v="0"/>
    <n v="-5621.760199999997"/>
    <n v="543.04739999999947"/>
    <n v="0"/>
    <n v="0"/>
    <n v="-6033.248378557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3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2.1869999999999998"/>
    <n v="2.1869999999999998"/>
    <n v="2.1869999999999998"/>
    <n v="2.1869999999999998"/>
    <m/>
    <n v="597.01"/>
    <n v="243.39"/>
    <m/>
    <n v="1837.9548"/>
    <n v="1837.9548"/>
    <n v="1664.9193599999999"/>
    <n v="0"/>
    <n v="54.420165216387147"/>
    <n v="0"/>
    <n v="0"/>
    <n v="0"/>
    <n v="256.29248648861943"/>
    <n v="896.75425365635715"/>
    <n v="532.28790438035116"/>
    <n v="0"/>
    <n v="0"/>
    <n v="0"/>
    <n v="0"/>
    <n v="0"/>
    <n v="22.217931635178228"/>
    <m/>
    <n v="3.7547977958837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213273262532297"/>
    <n v="0"/>
    <n v="0"/>
    <n v="0"/>
    <n v="564.16999999999996"/>
    <n v="4"/>
    <m/>
    <m/>
    <m/>
    <m/>
    <m/>
    <m/>
    <m/>
    <m/>
    <m/>
    <n v="604.50117764288348"/>
    <m/>
    <m/>
    <m/>
    <m/>
    <m/>
    <m/>
    <m/>
    <m/>
    <m/>
    <m/>
    <m/>
    <m/>
    <n v="1667.2031999999999"/>
    <n v="-170.78160000000003"/>
    <m/>
    <m/>
    <m/>
    <m/>
    <n v="-191.53745999999995"/>
    <n v="18.502020000000016"/>
    <n v="31"/>
    <n v="32.529050924734406"/>
    <n v="0"/>
    <n v="0"/>
    <n v="0"/>
    <n v="0"/>
    <n v="0"/>
    <n v="0"/>
    <n v="0"/>
    <n v="9.6085637682657534"/>
    <n v="0"/>
    <n v="0"/>
    <n v="24.384059265209885"/>
    <n v="0"/>
    <n v="0"/>
    <n v="0"/>
    <n v="3.3080833144577184"/>
    <n v="0"/>
    <n v="-0.39687977379122685"/>
    <m/>
    <n v="0"/>
    <n v="0"/>
    <n v="0"/>
    <n v="0"/>
    <n v="-0.12461931690512174"/>
    <n v="-0.22117015304775967"/>
    <n v="0"/>
    <n v="-4.0289861794545683"/>
    <m/>
    <m/>
    <m/>
    <n v="896.75425365635715"/>
    <n v="0"/>
    <n v="0"/>
    <n v="-191.53746000000001"/>
    <n v="18.502020000000016"/>
    <n v="0"/>
    <n v="0"/>
    <n v="-205.55716161247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4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85"/>
    <s v="Regular"/>
    <s v="Convencional"/>
    <s v="B2"/>
    <s v="Rural"/>
    <s v="Agropecuária rural"/>
    <s v="IRRIG./AQUIC."/>
    <s v="Não se aplica"/>
    <s v="Não se aplica"/>
    <s v="CATIVO"/>
    <x v="2"/>
    <n v="0"/>
    <n v="0"/>
    <n v="1.7809999999999999"/>
    <n v="1.7809999999999999"/>
    <n v="1.7809999999999999"/>
    <n v="1.7809999999999999"/>
    <m/>
    <n v="597.01"/>
    <n v="243.39"/>
    <m/>
    <n v="1496.7523999999999"/>
    <n v="1496.7523999999999"/>
    <n v="1355.83968"/>
    <n v="0"/>
    <n v="44.317473365516925"/>
    <n v="0"/>
    <n v="0"/>
    <n v="0"/>
    <n v="208.71372585104311"/>
    <n v="730.27861260263933"/>
    <n v="433.47268299104047"/>
    <n v="0"/>
    <n v="0"/>
    <n v="0"/>
    <n v="0"/>
    <n v="0"/>
    <n v="18.093340760060549"/>
    <m/>
    <n v="3.057747999299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807425551243718"/>
    <n v="0"/>
    <n v="0"/>
    <n v="0"/>
    <n v="0"/>
    <n v="0"/>
    <m/>
    <m/>
    <m/>
    <m/>
    <m/>
    <n v="162.71215999999995"/>
    <m/>
    <m/>
    <m/>
    <n v="492.28010854228421"/>
    <m/>
    <m/>
    <m/>
    <m/>
    <m/>
    <m/>
    <m/>
    <m/>
    <m/>
    <m/>
    <m/>
    <m/>
    <n v="1192.4576000000002"/>
    <n v="-124.71094999999968"/>
    <m/>
    <m/>
    <m/>
    <m/>
    <n v="-155.97997999999995"/>
    <n v="15.067260000000013"/>
    <n v="31"/>
    <n v="26.490278782328346"/>
    <n v="0"/>
    <n v="0"/>
    <n v="0"/>
    <n v="0"/>
    <n v="0"/>
    <n v="0"/>
    <n v="0"/>
    <n v="7.8248066169552999"/>
    <n v="0"/>
    <n v="0"/>
    <n v="19.85734318762627"/>
    <n v="0"/>
    <n v="0"/>
    <n v="0"/>
    <n v="2.6939626808638337"/>
    <n v="0"/>
    <n v="-0.32320204715234269"/>
    <m/>
    <n v="0"/>
    <n v="0"/>
    <n v="0"/>
    <n v="0"/>
    <n v="-0.10148468377138187"/>
    <n v="-0.18011158782718795"/>
    <n v="0"/>
    <n v="-3.2810353843660653"/>
    <m/>
    <m/>
    <m/>
    <n v="730.27861260263933"/>
    <n v="0"/>
    <n v="0"/>
    <n v="-155.97997999999995"/>
    <n v="15.067260000000033"/>
    <n v="0"/>
    <n v="0"/>
    <n v="-167.39703010142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6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0.56999999999999995"/>
    <n v="0.15390000000000001"/>
    <n v="0.56999999999999995"/>
    <n v="0.15390000000000001"/>
    <m/>
    <n v="597.01"/>
    <n v="243.39"/>
    <m/>
    <n v="479.02799999999991"/>
    <n v="479.02799999999991"/>
    <n v="433.92959999999994"/>
    <n v="0"/>
    <n v="14.183582155162631"/>
    <n v="0"/>
    <n v="0"/>
    <n v="0"/>
    <n v="66.797767397582575"/>
    <n v="233.72195911482561"/>
    <n v="138.73072953671704"/>
    <n v="0"/>
    <n v="0"/>
    <n v="0"/>
    <n v="0"/>
    <n v="0"/>
    <n v="5.790681770485409"/>
    <m/>
    <n v="0.97861670948960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82101772274504"/>
    <n v="0"/>
    <n v="0"/>
    <n v="0"/>
    <n v="0"/>
    <n v="0"/>
    <m/>
    <m/>
    <m/>
    <m/>
    <m/>
    <m/>
    <n v="330.82891199999989"/>
    <m/>
    <m/>
    <n v="157.55174725946208"/>
    <m/>
    <m/>
    <m/>
    <m/>
    <m/>
    <m/>
    <m/>
    <m/>
    <m/>
    <m/>
    <m/>
    <m/>
    <n v="100.488"/>
    <n v="-13.358745000000013"/>
    <m/>
    <m/>
    <m/>
    <m/>
    <n v="-49.920599999999986"/>
    <n v="4.822200000000004"/>
    <n v="31"/>
    <n v="8.4780791161859383"/>
    <n v="0"/>
    <n v="0"/>
    <n v="0"/>
    <n v="0"/>
    <n v="0"/>
    <n v="0"/>
    <n v="0"/>
    <n v="2.5042895966673342"/>
    <n v="0"/>
    <n v="0"/>
    <n v="6.3552417837995563"/>
    <n v="0"/>
    <n v="0"/>
    <n v="0"/>
    <n v="0.86218906686826813"/>
    <n v="0"/>
    <n v="-0.10343917286739845"/>
    <m/>
    <n v="0"/>
    <n v="0"/>
    <n v="0"/>
    <n v="0"/>
    <n v="-3.2479657355243496E-2"/>
    <n v="-5.7643798462379103E-2"/>
    <n v="0"/>
    <n v="-1.0500787024641536"/>
    <m/>
    <m/>
    <m/>
    <n v="233.72195911482561"/>
    <n v="0"/>
    <n v="0"/>
    <n v="-49.920599999999979"/>
    <n v="4.8222000000000094"/>
    <n v="0"/>
    <n v="0"/>
    <n v="-53.574568870191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7"/>
    <s v="Regular"/>
    <s v="Convencional"/>
    <s v="B1"/>
    <s v="Residencial"/>
    <s v="Residencial"/>
    <s v="Não se aplica"/>
    <s v="Não se aplica"/>
    <s v="Não se aplica"/>
    <s v="CATIVO"/>
    <x v="3"/>
    <n v="0"/>
    <n v="0"/>
    <n v="196.482"/>
    <n v="196.482"/>
    <n v="196.482"/>
    <n v="196.482"/>
    <m/>
    <n v="597.01"/>
    <n v="243.39"/>
    <m/>
    <n v="165123.47279999999"/>
    <n v="165123.47279999999"/>
    <n v="149577.81696"/>
    <n v="0"/>
    <n v="4889.155419316955"/>
    <n v="0"/>
    <n v="0"/>
    <n v="0"/>
    <n v="23025.541989143545"/>
    <n v="80565.189422454685"/>
    <n v="47821.21263304077"/>
    <n v="0"/>
    <n v="0"/>
    <n v="0"/>
    <n v="0"/>
    <n v="0"/>
    <n v="1996.078483558797"/>
    <m/>
    <n v="337.33433037532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87.703867018231"/>
    <n v="0"/>
    <n v="44.33"/>
    <n v="204.24"/>
    <n v="1447.71"/>
    <n v="2005"/>
    <m/>
    <m/>
    <m/>
    <m/>
    <m/>
    <m/>
    <m/>
    <m/>
    <m/>
    <n v="54308.916500059"/>
    <m/>
    <m/>
    <m/>
    <m/>
    <m/>
    <m/>
    <m/>
    <m/>
    <m/>
    <m/>
    <m/>
    <m/>
    <n v="149576.29440000001"/>
    <n v="-15547.208399999974"/>
    <m/>
    <m/>
    <m/>
    <m/>
    <n v="-17207.893559999997"/>
    <n v="1662.2377200000014"/>
    <n v="31"/>
    <n v="2922.4384928183426"/>
    <n v="0"/>
    <n v="0"/>
    <n v="0"/>
    <n v="0"/>
    <n v="0"/>
    <n v="0"/>
    <n v="0"/>
    <n v="863.24180444279045"/>
    <n v="0"/>
    <n v="0"/>
    <n v="2190.6852915166746"/>
    <n v="0"/>
    <n v="0"/>
    <n v="0"/>
    <n v="297.20110918668524"/>
    <n v="0"/>
    <n v="-35.656027304091367"/>
    <m/>
    <n v="0"/>
    <n v="0"/>
    <n v="0"/>
    <n v="0"/>
    <n v="-11.195908835917635"/>
    <n v="-19.870120718395015"/>
    <n v="0"/>
    <n v="-361.96765546940679"/>
    <m/>
    <m/>
    <m/>
    <n v="80565.189422454685"/>
    <n v="0"/>
    <n v="0"/>
    <n v="-17207.893559999997"/>
    <n v="1662.2377200000046"/>
    <n v="0"/>
    <n v="0"/>
    <n v="-18467.43586097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8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.47"/>
    <n v="1.47"/>
    <n v="1.47"/>
    <n v="1.47"/>
    <m/>
    <n v="597.01"/>
    <n v="243.39"/>
    <m/>
    <n v="1235.3879999999999"/>
    <n v="1235.3879999999999"/>
    <n v="1119.0816"/>
    <n v="0"/>
    <n v="36.578711873840469"/>
    <n v="0"/>
    <n v="0"/>
    <n v="0"/>
    <n v="172.26792644639718"/>
    <n v="602.75663140139238"/>
    <n v="357.77924985784927"/>
    <n v="0"/>
    <n v="0"/>
    <n v="0"/>
    <n v="0"/>
    <n v="0"/>
    <n v="14.933863513357108"/>
    <m/>
    <n v="2.52380098763108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538414127079321"/>
    <n v="0"/>
    <n v="0"/>
    <n v="0"/>
    <n v="0"/>
    <n v="9"/>
    <m/>
    <m/>
    <m/>
    <m/>
    <m/>
    <m/>
    <m/>
    <m/>
    <m/>
    <n v="406.31766398492857"/>
    <m/>
    <m/>
    <m/>
    <m/>
    <m/>
    <m/>
    <m/>
    <m/>
    <m/>
    <m/>
    <m/>
    <m/>
    <n v="1119.0816"/>
    <n v="-116.33639999999991"/>
    <m/>
    <m/>
    <m/>
    <m/>
    <n v="-128.74259999999998"/>
    <n v="12.436200000000012"/>
    <n v="31"/>
    <n v="21.86451982595338"/>
    <n v="0"/>
    <n v="0"/>
    <n v="0"/>
    <n v="0"/>
    <n v="0"/>
    <n v="0"/>
    <n v="0"/>
    <n v="6.4584310650894281"/>
    <n v="0"/>
    <n v="0"/>
    <n v="16.389834074009343"/>
    <n v="0"/>
    <n v="0"/>
    <n v="0"/>
    <n v="2.2235402250813223"/>
    <n v="0"/>
    <n v="-0.26676418265802226"/>
    <m/>
    <n v="0"/>
    <n v="0"/>
    <n v="0"/>
    <n v="0"/>
    <n v="-8.3763326863524057E-2"/>
    <n v="-0.14866032235034599"/>
    <n v="0"/>
    <n v="-2.7080977063549225"/>
    <m/>
    <m/>
    <m/>
    <n v="602.75663140139238"/>
    <n v="0"/>
    <n v="0"/>
    <n v="-128.74260000000004"/>
    <n v="12.436199999999985"/>
    <n v="0"/>
    <n v="0"/>
    <n v="-138.1659934020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60.9"/>
    <n v="60.9"/>
    <n v="60.9"/>
    <n v="60.9"/>
    <m/>
    <n v="561.96"/>
    <n v="243.39"/>
    <m/>
    <n v="49045.815000000002"/>
    <n v="49045.815000000002"/>
    <n v="44238.977999999996"/>
    <n v="0"/>
    <n v="0"/>
    <n v="0"/>
    <n v="0"/>
    <n v="0"/>
    <n v="7136.8140956364541"/>
    <n v="24971.346158057684"/>
    <n v="14822.283208396611"/>
    <n v="0"/>
    <n v="0"/>
    <n v="0"/>
    <n v="0"/>
    <n v="0"/>
    <n v="0"/>
    <m/>
    <n v="104.55746948757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0.8771566932862"/>
    <n v="0"/>
    <n v="0"/>
    <n v="0"/>
    <n v="0"/>
    <n v="150"/>
    <m/>
    <m/>
    <m/>
    <m/>
    <m/>
    <m/>
    <m/>
    <n v="28755.152999999998"/>
    <m/>
    <n v="16833.160365089898"/>
    <m/>
    <m/>
    <m/>
    <m/>
    <m/>
    <m/>
    <m/>
    <m/>
    <m/>
    <m/>
    <m/>
    <m/>
    <n v="15483.825000000001"/>
    <n v="-1682.6970000000001"/>
    <m/>
    <m/>
    <m/>
    <m/>
    <n v="-5322.0510000000022"/>
    <n v="515.21400000000051"/>
    <n v="31"/>
    <n v="917.32487553984902"/>
    <n v="0"/>
    <n v="0"/>
    <n v="0"/>
    <n v="0"/>
    <n v="0"/>
    <n v="0"/>
    <n v="0"/>
    <n v="267.56357269656201"/>
    <n v="0"/>
    <n v="0"/>
    <n v="679.007411637529"/>
    <n v="0"/>
    <n v="0"/>
    <n v="0"/>
    <n v="92.1180950390833"/>
    <n v="0"/>
    <n v="0"/>
    <m/>
    <n v="0"/>
    <n v="0"/>
    <n v="0"/>
    <n v="0"/>
    <n v="0"/>
    <n v="-6.158784783085764"/>
    <n v="0"/>
    <n v="-115.20541905024113"/>
    <m/>
    <m/>
    <m/>
    <n v="24971.346158057684"/>
    <n v="0"/>
    <n v="0"/>
    <n v="-5322.0510000000031"/>
    <n v="515.21399999999994"/>
    <n v="0"/>
    <n v="0"/>
    <n v="-5724.0197266572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88.462999999999994"/>
    <n v="88.462999999999994"/>
    <n v="88.462999999999994"/>
    <n v="88.462999999999994"/>
    <m/>
    <n v="561.96"/>
    <n v="243.39"/>
    <m/>
    <n v="71243.677049999998"/>
    <n v="71243.677049999998"/>
    <n v="64261.292459999997"/>
    <n v="0"/>
    <n v="0"/>
    <n v="0"/>
    <n v="0"/>
    <n v="0"/>
    <n v="10366.896311039205"/>
    <n v="36273.238016096169"/>
    <n v="21530.765836853683"/>
    <n v="0"/>
    <n v="0"/>
    <n v="0"/>
    <n v="0"/>
    <n v="0"/>
    <n v="0"/>
    <m/>
    <n v="151.879596441366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20.9889312406922"/>
    <n v="0"/>
    <n v="0"/>
    <n v="0"/>
    <n v="0"/>
    <n v="1317"/>
    <m/>
    <m/>
    <m/>
    <m/>
    <m/>
    <m/>
    <m/>
    <n v="25704.693909999995"/>
    <m/>
    <n v="24451.754768094375"/>
    <m/>
    <m/>
    <m/>
    <m/>
    <m/>
    <m/>
    <m/>
    <m/>
    <m/>
    <m/>
    <m/>
    <m/>
    <n v="38555.290999999997"/>
    <n v="-4190.9452300000048"/>
    <m/>
    <m/>
    <m/>
    <m/>
    <n v="-7730.7815700000037"/>
    <n v="748.39698000000067"/>
    <n v="31"/>
    <n v="1332.5009928551954"/>
    <n v="0"/>
    <n v="0"/>
    <n v="0"/>
    <n v="0"/>
    <n v="0"/>
    <n v="0"/>
    <n v="0"/>
    <n v="388.6613519122493"/>
    <n v="0"/>
    <n v="0"/>
    <n v="986.32237529869963"/>
    <n v="0"/>
    <n v="0"/>
    <n v="0"/>
    <n v="133.81023056555705"/>
    <n v="0"/>
    <n v="0"/>
    <m/>
    <n v="0"/>
    <n v="0"/>
    <n v="0"/>
    <n v="0"/>
    <n v="0"/>
    <n v="-8.9462163918902604"/>
    <n v="0"/>
    <n v="-167.34674852941674"/>
    <m/>
    <m/>
    <m/>
    <n v="36273.238016096169"/>
    <n v="0"/>
    <n v="0"/>
    <n v="-7730.7815699999992"/>
    <n v="748.39698000000135"/>
    <n v="0"/>
    <n v="0"/>
    <n v="-8314.6790981819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23.878"/>
    <n v="23.878"/>
    <n v="23.878"/>
    <n v="23.878"/>
    <m/>
    <n v="561.96"/>
    <n v="243.39"/>
    <m/>
    <n v="19230.147300000001"/>
    <n v="19230.147300000001"/>
    <n v="17345.456760000001"/>
    <n v="0"/>
    <n v="0"/>
    <n v="0"/>
    <n v="0"/>
    <n v="0"/>
    <n v="2798.2405086306612"/>
    <n v="9790.8998942873804"/>
    <n v="5811.6006313644384"/>
    <n v="0"/>
    <n v="0"/>
    <n v="0"/>
    <n v="0"/>
    <n v="0"/>
    <n v="0"/>
    <m/>
    <n v="40.995455770513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8.43554593632655"/>
    <n v="0"/>
    <n v="0"/>
    <n v="0"/>
    <n v="0"/>
    <n v="511"/>
    <m/>
    <m/>
    <m/>
    <m/>
    <m/>
    <m/>
    <m/>
    <n v="1734.4979199999998"/>
    <m/>
    <n v="6600.0361773007653"/>
    <m/>
    <m/>
    <m/>
    <m/>
    <m/>
    <m/>
    <m/>
    <m/>
    <m/>
    <m/>
    <m/>
    <m/>
    <n v="15612.2664"/>
    <n v="-1695.0155599999998"/>
    <m/>
    <m/>
    <m/>
    <m/>
    <n v="-2086.6984200000011"/>
    <n v="202.0078800000002"/>
    <n v="31"/>
    <n v="359.66967780197774"/>
    <n v="0"/>
    <n v="0"/>
    <n v="0"/>
    <n v="0"/>
    <n v="0"/>
    <n v="0"/>
    <n v="0"/>
    <n v="104.90776664775876"/>
    <n v="0"/>
    <n v="0"/>
    <n v="266.22888300625527"/>
    <n v="0"/>
    <n v="0"/>
    <n v="0"/>
    <n v="36.11815883979034"/>
    <n v="0"/>
    <n v="0"/>
    <m/>
    <n v="0"/>
    <n v="0"/>
    <n v="0"/>
    <n v="0"/>
    <n v="0"/>
    <n v="-2.4147695082187539"/>
    <n v="0"/>
    <n v="-45.170361183606865"/>
    <m/>
    <m/>
    <m/>
    <n v="9790.8998942873804"/>
    <n v="0"/>
    <n v="0"/>
    <n v="-2086.6984200000006"/>
    <n v="202.00788000000011"/>
    <n v="0"/>
    <n v="0"/>
    <n v="-2244.3044833025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5.3540000000000001"/>
    <n v="5.3540000000000001"/>
    <n v="5.3540000000000001"/>
    <n v="5.3540000000000001"/>
    <m/>
    <n v="561.96"/>
    <n v="243.39"/>
    <m/>
    <n v="4311.8438999999998"/>
    <n v="4311.8438999999998"/>
    <n v="3889.2526800000001"/>
    <n v="0"/>
    <n v="0"/>
    <n v="0"/>
    <n v="0"/>
    <n v="0"/>
    <n v="627.43025727483712"/>
    <n v="2195.3462615803096"/>
    <n v="1303.0953086659354"/>
    <n v="0"/>
    <n v="0"/>
    <n v="0"/>
    <n v="0"/>
    <n v="0"/>
    <n v="0"/>
    <m/>
    <n v="9.1921295835216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.78548927645082"/>
    <n v="0"/>
    <n v="44.61"/>
    <n v="206.01"/>
    <n v="683.1"/>
    <n v="52"/>
    <m/>
    <m/>
    <m/>
    <m/>
    <m/>
    <m/>
    <m/>
    <m/>
    <m/>
    <n v="1479.8807979423862"/>
    <m/>
    <m/>
    <m/>
    <m/>
    <m/>
    <m/>
    <m/>
    <m/>
    <m/>
    <m/>
    <m/>
    <m/>
    <n v="3886.3469999999998"/>
    <n v="-425.52690000000075"/>
    <m/>
    <m/>
    <m/>
    <m/>
    <n v="-467.88606000000021"/>
    <n v="45.294840000000043"/>
    <n v="31"/>
    <n v="80.646262457148623"/>
    <n v="0"/>
    <n v="0"/>
    <n v="0"/>
    <n v="0"/>
    <n v="0"/>
    <n v="0"/>
    <n v="0"/>
    <n v="23.52274824659105"/>
    <n v="0"/>
    <n v="0"/>
    <n v="59.694674579759067"/>
    <n v="0"/>
    <n v="0"/>
    <n v="0"/>
    <n v="8.0985267789696422"/>
    <n v="0"/>
    <n v="0"/>
    <m/>
    <n v="0"/>
    <n v="0"/>
    <n v="0"/>
    <n v="0"/>
    <n v="0"/>
    <n v="-0.54144718766241695"/>
    <n v="0"/>
    <n v="-10.128239960508886"/>
    <m/>
    <m/>
    <m/>
    <n v="2195.3462615803096"/>
    <n v="0"/>
    <n v="0"/>
    <n v="-467.88606000000027"/>
    <n v="45.294840000000022"/>
    <n v="0"/>
    <n v="0"/>
    <n v="-503.2249854929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3"/>
    <s v="Regular"/>
    <s v="Convencional"/>
    <s v="B3"/>
    <s v="Industrial"/>
    <s v="Não se aplica"/>
    <s v="Não se aplica"/>
    <s v="Não se aplica"/>
    <s v="Não se aplica"/>
    <s v="CATIVO"/>
    <x v="3"/>
    <n v="0"/>
    <n v="0"/>
    <n v="0.39"/>
    <n v="0.39"/>
    <n v="0.39"/>
    <n v="0.39"/>
    <m/>
    <n v="597.01"/>
    <n v="243.39"/>
    <m/>
    <n v="327.75599999999997"/>
    <n v="327.75599999999997"/>
    <n v="296.89920000000001"/>
    <n v="0"/>
    <n v="9.7045562114270645"/>
    <n v="0"/>
    <n v="0"/>
    <n v="0"/>
    <n v="45.703735587819658"/>
    <n v="159.91502465751228"/>
    <n v="94.921025472490626"/>
    <n v="0"/>
    <n v="0"/>
    <n v="0"/>
    <n v="0"/>
    <n v="0"/>
    <n v="3.9620454219110699"/>
    <m/>
    <n v="0.669579853861308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77538441878189"/>
    <n v="0"/>
    <n v="0"/>
    <n v="0"/>
    <n v="0"/>
    <n v="3"/>
    <m/>
    <m/>
    <m/>
    <m/>
    <m/>
    <m/>
    <m/>
    <m/>
    <m/>
    <n v="107.79856391436881"/>
    <m/>
    <m/>
    <m/>
    <m/>
    <m/>
    <m/>
    <m/>
    <m/>
    <m/>
    <m/>
    <m/>
    <m/>
    <n v="296.89920000000001"/>
    <n v="-30.886799999999937"/>
    <m/>
    <m/>
    <m/>
    <m/>
    <n v="-34.156199999999998"/>
    <n v="3.299400000000003"/>
    <n v="31"/>
    <n v="5.8007909742325126"/>
    <n v="0"/>
    <n v="0"/>
    <n v="0"/>
    <n v="0"/>
    <n v="0"/>
    <n v="0"/>
    <n v="0"/>
    <n v="1.713461302982914"/>
    <n v="0"/>
    <n v="0"/>
    <n v="4.3483233257575762"/>
    <n v="0"/>
    <n v="0"/>
    <n v="0"/>
    <n v="0.5899188352256548"/>
    <n v="0"/>
    <n v="-7.0774170909272627E-2"/>
    <m/>
    <n v="0"/>
    <n v="0"/>
    <n v="0"/>
    <n v="0"/>
    <n v="-2.2222923453588006E-2"/>
    <n v="-3.9440493684785749E-2"/>
    <n v="0"/>
    <n v="-0.71847490168599992"/>
    <m/>
    <m/>
    <m/>
    <n v="159.91502465751228"/>
    <n v="0"/>
    <n v="0"/>
    <n v="-34.156199999999984"/>
    <n v="3.2994000000000057"/>
    <n v="0"/>
    <n v="0"/>
    <n v="-36.656283963815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4"/>
    <s v="Regular"/>
    <s v="Verde"/>
    <s v="A4"/>
    <s v="Industrial"/>
    <s v="Não se aplica"/>
    <s v="Não se aplica"/>
    <s v="Não se aplica"/>
    <s v="Ponta"/>
    <s v="CATIVO"/>
    <x v="3"/>
    <n v="0"/>
    <n v="0"/>
    <n v="0.28000000000000003"/>
    <n v="0.28000000000000003"/>
    <n v="0.28000000000000003"/>
    <n v="0.28000000000000003"/>
    <m/>
    <n v="2773.91"/>
    <n v="243.39"/>
    <m/>
    <n v="844.84400000000005"/>
    <n v="844.84400000000005"/>
    <n v="727.26360000000011"/>
    <n v="0"/>
    <n v="6.0616151105221325"/>
    <n v="0"/>
    <n v="0"/>
    <n v="0"/>
    <n v="201.74210539455393"/>
    <n v="561.60878194323573"/>
    <n v="68.148428544352242"/>
    <n v="0"/>
    <n v="0"/>
    <n v="0"/>
    <n v="0"/>
    <n v="0"/>
    <n v="2.8445454311156402"/>
    <m/>
    <n v="0.1942299859626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445561007180244"/>
    <n v="0"/>
    <n v="0"/>
    <n v="0"/>
    <n v="0"/>
    <n v="0"/>
    <m/>
    <m/>
    <m/>
    <m/>
    <m/>
    <m/>
    <m/>
    <m/>
    <m/>
    <n v="72.392984645070271"/>
    <m/>
    <m/>
    <m/>
    <m/>
    <m/>
    <m/>
    <m/>
    <m/>
    <m/>
    <m/>
    <m/>
    <m/>
    <n v="727.26360000000011"/>
    <n v="-117.61039999999991"/>
    <m/>
    <m/>
    <m/>
    <m/>
    <n v="-119.94919999999998"/>
    <n v="2.3688000000000025"/>
    <n v="31"/>
    <n v="11.15282986886541"/>
    <n v="0"/>
    <n v="0"/>
    <n v="0"/>
    <n v="0"/>
    <n v="0"/>
    <n v="0"/>
    <n v="0"/>
    <n v="7.5634362559187878"/>
    <n v="0"/>
    <n v="0"/>
    <n v="3.121873156954166"/>
    <n v="0"/>
    <n v="0"/>
    <n v="0"/>
    <n v="0.19444271918016387"/>
    <n v="0"/>
    <n v="-4.4206635983327303E-2"/>
    <m/>
    <n v="0"/>
    <n v="0"/>
    <n v="0"/>
    <n v="0"/>
    <n v="-1.5954919402576095E-2"/>
    <n v="-1.1440796031393113E-2"/>
    <n v="0"/>
    <n v="0.3446800882296045"/>
    <m/>
    <m/>
    <m/>
    <n v="561.60878194323573"/>
    <n v="0"/>
    <n v="0"/>
    <n v="-119.94919999999991"/>
    <n v="2.3687999999999931"/>
    <n v="0"/>
    <n v="0"/>
    <n v="-128.73393873760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5"/>
    <s v="Regular"/>
    <s v="Verde"/>
    <s v="A4"/>
    <s v="Industrial"/>
    <s v="Não se aplica"/>
    <s v="Não se aplica"/>
    <s v="Não se aplica"/>
    <s v="Fora ponta"/>
    <s v="CATIVO"/>
    <x v="3"/>
    <n v="0"/>
    <n v="0"/>
    <n v="24.585999999999999"/>
    <n v="24.585999999999999"/>
    <n v="24.585999999999999"/>
    <n v="24.585999999999999"/>
    <m/>
    <n v="47.66"/>
    <n v="243.39"/>
    <m/>
    <n v="7155.7552999999989"/>
    <n v="7155.7552999999989"/>
    <n v="7376.2917199999993"/>
    <n v="0"/>
    <n v="532.25310395463259"/>
    <n v="0"/>
    <n v="0"/>
    <n v="0"/>
    <n v="0"/>
    <n v="0"/>
    <n v="5983.9188006837285"/>
    <n v="0"/>
    <n v="0"/>
    <n v="0"/>
    <n v="0"/>
    <n v="0"/>
    <n v="249.77140703360399"/>
    <m/>
    <n v="17.054780124565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2.70234390090479"/>
    <n v="0"/>
    <n v="0"/>
    <n v="0"/>
    <n v="0"/>
    <n v="0"/>
    <m/>
    <m/>
    <m/>
    <m/>
    <m/>
    <m/>
    <m/>
    <m/>
    <m/>
    <n v="6356.6211445846329"/>
    <m/>
    <m/>
    <m/>
    <m/>
    <m/>
    <m/>
    <m/>
    <m/>
    <m/>
    <m/>
    <m/>
    <m/>
    <n v="7377.4917999999998"/>
    <n v="221.70650000000023"/>
    <m/>
    <m/>
    <m/>
    <m/>
    <n v="12.538860000000126"/>
    <n v="207.99756000000019"/>
    <n v="31"/>
    <n v="220.54826057249647"/>
    <n v="0"/>
    <n v="0"/>
    <n v="0"/>
    <n v="0"/>
    <n v="0"/>
    <n v="0"/>
    <n v="0"/>
    <n v="0"/>
    <n v="0"/>
    <n v="0"/>
    <n v="274.12276227455368"/>
    <n v="0"/>
    <n v="0"/>
    <n v="0"/>
    <n v="17.073459620583947"/>
    <n v="0"/>
    <n v="-3.8816584010218094"/>
    <m/>
    <n v="0"/>
    <n v="0"/>
    <n v="0"/>
    <n v="0"/>
    <n v="-1.4009558872562025"/>
    <n v="-1.0045836115279663"/>
    <n v="0"/>
    <n v="-64.360763422834907"/>
    <m/>
    <m/>
    <m/>
    <n v="0"/>
    <n v="0"/>
    <n v="0"/>
    <n v="12.538860000000113"/>
    <n v="207.9975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6"/>
    <s v="Regular"/>
    <s v="Verde"/>
    <s v="A4"/>
    <s v="Industrial"/>
    <s v="Não se aplica"/>
    <s v="Não se aplica"/>
    <s v="Não se aplica"/>
    <s v="Não se aplica"/>
    <s v="CATIVO"/>
    <x v="3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n v="31"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97"/>
    <s v="Regular"/>
    <s v="Convencional"/>
    <s v="B3"/>
    <s v="Comercial"/>
    <s v="Não se aplica"/>
    <s v="Não se aplica"/>
    <s v="Não se aplica"/>
    <s v="Não se aplica"/>
    <s v="CATIVO"/>
    <x v="3"/>
    <n v="0"/>
    <n v="0"/>
    <n v="54.72"/>
    <n v="54.72"/>
    <n v="54.72"/>
    <n v="54.72"/>
    <m/>
    <n v="597.01"/>
    <n v="243.39"/>
    <m/>
    <n v="45986.687999999995"/>
    <n v="45986.687999999995"/>
    <n v="41657.241600000001"/>
    <n v="0"/>
    <n v="1361.6238868956127"/>
    <n v="0"/>
    <n v="0"/>
    <n v="0"/>
    <n v="6412.5856701679277"/>
    <n v="22437.308075023258"/>
    <n v="13318.150035524837"/>
    <n v="0"/>
    <n v="0"/>
    <n v="0"/>
    <n v="0"/>
    <n v="0"/>
    <n v="555.90544996659935"/>
    <m/>
    <n v="93.94720411100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6.8177013835241"/>
    <n v="0"/>
    <n v="70.09"/>
    <n v="323.45999999999998"/>
    <n v="4103.7"/>
    <n v="205"/>
    <m/>
    <m/>
    <m/>
    <m/>
    <m/>
    <m/>
    <m/>
    <m/>
    <m/>
    <n v="15124.967736908362"/>
    <m/>
    <m/>
    <m/>
    <m/>
    <m/>
    <m/>
    <m/>
    <m/>
    <m/>
    <m/>
    <m/>
    <m/>
    <n v="41657.241600000001"/>
    <n v="-4329.4763999999923"/>
    <m/>
    <m/>
    <m/>
    <m/>
    <n v="-4792.3775999999989"/>
    <n v="462.93120000000044"/>
    <n v="31"/>
    <n v="813.89559515384826"/>
    <n v="0"/>
    <n v="0"/>
    <n v="0"/>
    <n v="0"/>
    <n v="0"/>
    <n v="0"/>
    <n v="0"/>
    <n v="240.41180128006363"/>
    <n v="0"/>
    <n v="0"/>
    <n v="610.10321124475558"/>
    <n v="0"/>
    <n v="0"/>
    <n v="0"/>
    <n v="82.77015041935374"/>
    <n v="0"/>
    <n v="-9.9301605952703085"/>
    <m/>
    <n v="0"/>
    <n v="0"/>
    <n v="0"/>
    <n v="0"/>
    <n v="-3.1180471061034041"/>
    <n v="-5.5338046523883975"/>
    <n v="0"/>
    <n v="-100.80755543655874"/>
    <m/>
    <m/>
    <m/>
    <n v="22437.308075023258"/>
    <n v="0"/>
    <n v="0"/>
    <n v="-4792.3775999999962"/>
    <n v="462.9312000000009"/>
    <n v="0"/>
    <n v="0"/>
    <n v="-5143.1586115383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8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3.36"/>
    <n v="3.36"/>
    <n v="3.36"/>
    <n v="3.36"/>
    <m/>
    <n v="597.01"/>
    <n v="243.39"/>
    <m/>
    <n v="2823.7439999999997"/>
    <n v="2823.7439999999997"/>
    <n v="2557.9007999999999"/>
    <n v="0"/>
    <n v="83.60848428306393"/>
    <n v="0"/>
    <n v="0"/>
    <n v="0"/>
    <n v="393.75526044890785"/>
    <n v="1377.7294432031827"/>
    <n v="817.7811425322268"/>
    <n v="0"/>
    <n v="0"/>
    <n v="0"/>
    <n v="0"/>
    <n v="0"/>
    <n v="34.134545173387679"/>
    <m/>
    <n v="5.768687971728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4494657618131"/>
    <n v="0"/>
    <n v="0"/>
    <n v="0"/>
    <n v="0"/>
    <n v="6"/>
    <m/>
    <m/>
    <m/>
    <m/>
    <m/>
    <m/>
    <m/>
    <m/>
    <m/>
    <n v="928.72608910840813"/>
    <m/>
    <m/>
    <m/>
    <m/>
    <m/>
    <m/>
    <m/>
    <m/>
    <m/>
    <m/>
    <m/>
    <m/>
    <n v="2557.9007999999999"/>
    <n v="-265.8732"/>
    <m/>
    <m/>
    <m/>
    <m/>
    <n v="-294.26879999999994"/>
    <n v="28.425600000000024"/>
    <n v="31"/>
    <n v="49.976045316464706"/>
    <n v="0"/>
    <n v="0"/>
    <n v="0"/>
    <n v="0"/>
    <n v="0"/>
    <n v="0"/>
    <n v="0"/>
    <n v="14.762128148775844"/>
    <n v="0"/>
    <n v="0"/>
    <n v="37.462477883449992"/>
    <n v="0"/>
    <n v="0"/>
    <n v="0"/>
    <n v="5.0823776573287205"/>
    <n v="0"/>
    <n v="-0.60974670321834878"/>
    <m/>
    <n v="0"/>
    <n v="0"/>
    <n v="0"/>
    <n v="0"/>
    <n v="-0.19145903283091315"/>
    <n v="-0.33979502251507743"/>
    <n v="0"/>
    <n v="-6.1899376145255376"/>
    <m/>
    <m/>
    <m/>
    <n v="1377.7294432031827"/>
    <n v="0"/>
    <n v="0"/>
    <n v="-294.26879999999983"/>
    <n v="28.425599999999918"/>
    <n v="0"/>
    <n v="0"/>
    <n v="-315.80798491902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99"/>
    <s v="Regular"/>
    <s v="Branca"/>
    <s v="B3"/>
    <s v="Comercial"/>
    <s v="Não se aplica"/>
    <s v="Não se aplica"/>
    <s v="Não se aplica"/>
    <s v="Ponta"/>
    <s v="CATIVO"/>
    <x v="3"/>
    <n v="0"/>
    <n v="0"/>
    <n v="1.4999999999999999E-2"/>
    <n v="1.4999999999999999E-2"/>
    <n v="1.4999999999999999E-2"/>
    <n v="1.4999999999999999E-2"/>
    <m/>
    <n v="1783.27"/>
    <n v="243.39"/>
    <m/>
    <n v="30.399899999999999"/>
    <n v="30.399899999999999"/>
    <n v="26.214300000000001"/>
    <n v="0"/>
    <n v="0.37325216197796401"/>
    <n v="0"/>
    <n v="0"/>
    <n v="0"/>
    <n v="5.7129699840591748"/>
    <n v="19.989386169167997"/>
    <n v="3.6508086720188699"/>
    <n v="0"/>
    <n v="0"/>
    <n v="0"/>
    <n v="0"/>
    <n v="0"/>
    <n v="0.15238636238119499"/>
    <m/>
    <n v="2.575307130235799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9528994007223798"/>
    <n v="0"/>
    <n v="0"/>
    <n v="0"/>
    <n v="0"/>
    <n v="0"/>
    <m/>
    <m/>
    <m/>
    <m/>
    <m/>
    <m/>
    <m/>
    <m/>
    <m/>
    <n v="4.1460986120911079"/>
    <m/>
    <m/>
    <m/>
    <m/>
    <m/>
    <m/>
    <m/>
    <m/>
    <m/>
    <m/>
    <m/>
    <m/>
    <n v="34.952400000000004"/>
    <n v="4.5225000000000009"/>
    <m/>
    <m/>
    <m/>
    <m/>
    <n v="-4.3125"/>
    <n v="0.12690000000000012"/>
    <n v="31"/>
    <n v="0.39650831895513861"/>
    <n v="0"/>
    <n v="0"/>
    <n v="0"/>
    <n v="0"/>
    <n v="0"/>
    <n v="0"/>
    <n v="0"/>
    <n v="0.21418277667866992"/>
    <n v="0"/>
    <n v="0"/>
    <n v="0.16724320483682975"/>
    <n v="0"/>
    <n v="0"/>
    <n v="0"/>
    <n v="2.2689185970217574E-2"/>
    <n v="0"/>
    <n v="-2.7220834965104856E-3"/>
    <m/>
    <n v="0"/>
    <n v="0"/>
    <n v="0"/>
    <n v="0"/>
    <n v="-8.5472782513801304E-4"/>
    <n v="-1.5169420647994508E-3"/>
    <n v="0"/>
    <n v="-2.5130951441333996E-3"/>
    <m/>
    <m/>
    <m/>
    <n v="19.989386169167997"/>
    <n v="0"/>
    <n v="0"/>
    <n v="-4.3125"/>
    <n v="0.12690000000000001"/>
    <n v="0"/>
    <n v="0"/>
    <n v="-4.5820373492026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0"/>
    <s v="Regular"/>
    <s v="Branca"/>
    <s v="B3"/>
    <s v="Comercial"/>
    <s v="Não se aplica"/>
    <s v="Não se aplica"/>
    <s v="Não se aplica"/>
    <s v="Fora ponta"/>
    <s v="CATIVO"/>
    <x v="3"/>
    <n v="0"/>
    <n v="0"/>
    <n v="0.47299999999999998"/>
    <n v="0.47299999999999998"/>
    <n v="0.47299999999999998"/>
    <n v="0.47299999999999998"/>
    <m/>
    <n v="412.48"/>
    <n v="243.39"/>
    <m/>
    <n v="310.22650999999996"/>
    <n v="310.22650999999996"/>
    <n v="287.51305000000002"/>
    <n v="0"/>
    <n v="11.769884841038465"/>
    <n v="0"/>
    <n v="0"/>
    <n v="0"/>
    <n v="36.030366228363782"/>
    <n v="126.06644865957327"/>
    <n v="115.12216679099502"/>
    <n v="0"/>
    <n v="0"/>
    <n v="0"/>
    <n v="0"/>
    <n v="0"/>
    <n v="4.8052499604203485"/>
    <m/>
    <n v="0.81208018173435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1814277694457"/>
    <n v="0"/>
    <n v="0"/>
    <n v="0"/>
    <n v="0"/>
    <n v="0"/>
    <m/>
    <m/>
    <m/>
    <m/>
    <m/>
    <m/>
    <m/>
    <m/>
    <m/>
    <n v="130.74030956793959"/>
    <m/>
    <m/>
    <m/>
    <m/>
    <m/>
    <m/>
    <m/>
    <m/>
    <m/>
    <m/>
    <m/>
    <m/>
    <n v="285.68949999999995"/>
    <n v="-24.567009999999982"/>
    <m/>
    <m/>
    <m/>
    <m/>
    <n v="-26.715040000000009"/>
    <n v="4.0015800000000032"/>
    <n v="31"/>
    <n v="6.1847780536343748"/>
    <n v="0"/>
    <n v="0"/>
    <n v="0"/>
    <n v="0"/>
    <n v="0"/>
    <n v="0"/>
    <n v="0"/>
    <n v="1.3508007052502435"/>
    <n v="0"/>
    <n v="0"/>
    <n v="5.2737357258547064"/>
    <n v="0"/>
    <n v="0"/>
    <n v="0"/>
    <n v="0.71546566426086144"/>
    <n v="0"/>
    <n v="-8.5836366256630825E-2"/>
    <m/>
    <n v="0"/>
    <n v="0"/>
    <n v="0"/>
    <n v="0"/>
    <n v="-2.6952417419351171E-2"/>
    <n v="-4.7834239776676002E-2"/>
    <n v="0"/>
    <n v="-0.99460101827874414"/>
    <m/>
    <m/>
    <m/>
    <n v="126.06644865957327"/>
    <n v="0"/>
    <n v="0"/>
    <n v="-26.715039999999988"/>
    <n v="4.0015800000000041"/>
    <n v="0"/>
    <n v="0"/>
    <n v="-28.897394414764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1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102"/>
    <s v="Regular"/>
    <s v="Branca"/>
    <s v="B3"/>
    <s v="Comercial"/>
    <s v="Não se aplica"/>
    <s v="Não se aplica"/>
    <s v="Não se aplica"/>
    <s v="Intermediário"/>
    <s v="CATIVO"/>
    <x v="3"/>
    <n v="0"/>
    <n v="0"/>
    <n v="1.2999999999999999E-2"/>
    <n v="1.2999999999999999E-2"/>
    <n v="1.2999999999999999E-2"/>
    <n v="1.2999999999999999E-2"/>
    <m/>
    <n v="1097.8699999999999"/>
    <n v="243.39"/>
    <m/>
    <n v="17.436379999999996"/>
    <n v="17.436379999999996"/>
    <n v="15.310489999999998"/>
    <n v="0"/>
    <n v="0.32348520704756878"/>
    <n v="0"/>
    <n v="0"/>
    <n v="0"/>
    <n v="2.9707672424134768"/>
    <n v="10.394479101497607"/>
    <n v="3.1640341824163536"/>
    <n v="0"/>
    <n v="0"/>
    <n v="0"/>
    <n v="0"/>
    <n v="0"/>
    <n v="0.13206818073036899"/>
    <m/>
    <n v="2.23193284620435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2925128139593954"/>
    <n v="0"/>
    <n v="0"/>
    <n v="0"/>
    <n v="0"/>
    <n v="0"/>
    <m/>
    <m/>
    <m/>
    <m/>
    <m/>
    <m/>
    <m/>
    <m/>
    <m/>
    <n v="3.5932854638122933"/>
    <m/>
    <m/>
    <m/>
    <m/>
    <m/>
    <m/>
    <m/>
    <m/>
    <m/>
    <m/>
    <m/>
    <m/>
    <n v="11.7773"/>
    <n v="-5.689079999999997"/>
    <m/>
    <m/>
    <m/>
    <m/>
    <n v="-2.2358699999999985"/>
    <n v="0.10998000000000009"/>
    <n v="31"/>
    <n v="0.25681251752363554"/>
    <n v="0"/>
    <n v="0"/>
    <n v="0"/>
    <n v="0"/>
    <n v="0"/>
    <n v="0"/>
    <n v="0"/>
    <n v="0.11137590055988511"/>
    <n v="0"/>
    <n v="0"/>
    <n v="0.14494411085858605"/>
    <n v="0"/>
    <n v="0"/>
    <n v="0"/>
    <n v="1.966396117418856E-2"/>
    <n v="0"/>
    <n v="-2.3591390303090987E-3"/>
    <m/>
    <n v="0"/>
    <n v="0"/>
    <n v="0"/>
    <n v="0"/>
    <n v="-7.4076411511961315E-4"/>
    <n v="-1.3146831228261872E-3"/>
    <n v="0"/>
    <n v="-1.4756868800769551E-2"/>
    <m/>
    <m/>
    <m/>
    <n v="10.394479101497607"/>
    <n v="0"/>
    <n v="0"/>
    <n v="-2.2358699999999985"/>
    <n v="0.10998000000000019"/>
    <n v="0"/>
    <n v="0"/>
    <n v="-2.3826590304223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3"/>
    <s v="Regular"/>
    <s v="Convencional"/>
    <s v="B2"/>
    <s v="Rural"/>
    <s v="Não se aplica"/>
    <s v="Não se aplica"/>
    <s v="Não se aplica"/>
    <s v="Não se aplica"/>
    <s v="CATIVO"/>
    <x v="3"/>
    <n v="0"/>
    <n v="0"/>
    <n v="181.00299999999999"/>
    <n v="181.00299999999999"/>
    <n v="181.00299999999999"/>
    <n v="181.00299999999999"/>
    <m/>
    <n v="597.01"/>
    <n v="243.39"/>
    <m/>
    <n v="152114.92119999998"/>
    <n v="152114.92119999998"/>
    <n v="137793.96383999998"/>
    <n v="0"/>
    <n v="4503.984071633161"/>
    <n v="0"/>
    <n v="0"/>
    <n v="0"/>
    <n v="21211.572442569541"/>
    <n v="74218.20309765049"/>
    <n v="44053.821470762094"/>
    <n v="0"/>
    <n v="0"/>
    <n v="0"/>
    <n v="0"/>
    <n v="0"/>
    <n v="1838.8259166722289"/>
    <m/>
    <n v="310.758877662713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76.5976681930188"/>
    <n v="0"/>
    <n v="99.59"/>
    <n v="459.33"/>
    <n v="0"/>
    <n v="1792"/>
    <m/>
    <m/>
    <m/>
    <m/>
    <m/>
    <n v="16536.434079999995"/>
    <m/>
    <m/>
    <m/>
    <n v="50030.419138955112"/>
    <m/>
    <m/>
    <m/>
    <m/>
    <m/>
    <m/>
    <m/>
    <m/>
    <m/>
    <m/>
    <m/>
    <m/>
    <n v="121255.52"/>
    <n v="-12605.278649999978"/>
    <m/>
    <m/>
    <m/>
    <m/>
    <n v="-15852.242739999996"/>
    <n v="1531.2853800000014"/>
    <n v="31"/>
    <n v="2692.2065864333563"/>
    <n v="0"/>
    <n v="0"/>
    <n v="0"/>
    <n v="0"/>
    <n v="0"/>
    <n v="0"/>
    <n v="0"/>
    <n v="795.23496467645236"/>
    <n v="0"/>
    <n v="0"/>
    <n v="2018.101453672054"/>
    <n v="0"/>
    <n v="0"/>
    <n v="0"/>
    <n v="273.78738187781892"/>
    <n v="0"/>
    <n v="-32.847018607925747"/>
    <m/>
    <n v="0"/>
    <n v="0"/>
    <n v="0"/>
    <n v="0"/>
    <n v="-10.313886702230093"/>
    <n v="-18.304737636992968"/>
    <n v="0"/>
    <n v="-333.45157084582314"/>
    <m/>
    <m/>
    <m/>
    <n v="74218.20309765049"/>
    <n v="0"/>
    <n v="0"/>
    <n v="-15852.242740000002"/>
    <n v="1531.2853800000012"/>
    <n v="0"/>
    <n v="0"/>
    <n v="-17012.557349493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4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3.98"/>
    <n v="3.98"/>
    <n v="3.98"/>
    <n v="3.98"/>
    <m/>
    <n v="597.01"/>
    <n v="243.39"/>
    <m/>
    <n v="3344.7919999999999"/>
    <n v="3344.7919999999999"/>
    <n v="3029.8944000000001"/>
    <n v="0"/>
    <n v="99.036240311486452"/>
    <n v="0"/>
    <n v="0"/>
    <n v="0"/>
    <n v="466.41248112698014"/>
    <n v="1631.9533285561508"/>
    <n v="968.68123430900675"/>
    <n v="0"/>
    <n v="0"/>
    <n v="0"/>
    <n v="0"/>
    <n v="0"/>
    <n v="40.433181485143734"/>
    <m/>
    <n v="6.8331482522256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4169307658338"/>
    <n v="0"/>
    <n v="0"/>
    <n v="0"/>
    <n v="0"/>
    <n v="6"/>
    <m/>
    <m/>
    <m/>
    <m/>
    <m/>
    <n v="363.61279999999994"/>
    <m/>
    <m/>
    <m/>
    <n v="1100.0981650748406"/>
    <m/>
    <m/>
    <m/>
    <m/>
    <m/>
    <m/>
    <m/>
    <m/>
    <m/>
    <m/>
    <m/>
    <m/>
    <n v="2666.2816000000003"/>
    <n v="-277.15740000000051"/>
    <m/>
    <m/>
    <m/>
    <m/>
    <n v="-348.56839999999994"/>
    <n v="33.670800000000028"/>
    <n v="31"/>
    <n v="59.19781558319346"/>
    <n v="0"/>
    <n v="0"/>
    <n v="0"/>
    <n v="0"/>
    <n v="0"/>
    <n v="0"/>
    <n v="0"/>
    <n v="17.486092271466589"/>
    <n v="0"/>
    <n v="0"/>
    <n v="44.37519701670567"/>
    <n v="0"/>
    <n v="0"/>
    <n v="0"/>
    <n v="6.0201973440977383"/>
    <n v="0"/>
    <n v="-0.72225948774078574"/>
    <m/>
    <n v="0"/>
    <n v="0"/>
    <n v="0"/>
    <n v="0"/>
    <n v="-0.22678778293661139"/>
    <n v="-0.40249529452678701"/>
    <n v="0"/>
    <n v="-7.3321284838725118"/>
    <m/>
    <m/>
    <m/>
    <n v="1631.9533285561508"/>
    <n v="0"/>
    <n v="0"/>
    <n v="-348.56839999999988"/>
    <n v="33.670799999999986"/>
    <n v="0"/>
    <n v="0"/>
    <n v="-374.08207737431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5"/>
    <s v="Regular"/>
    <s v="Branca"/>
    <s v="B2"/>
    <s v="Rural"/>
    <s v="Não se aplica"/>
    <s v="Não se aplica"/>
    <s v="Não se aplica"/>
    <s v="Ponta"/>
    <s v="CATIVO"/>
    <x v="3"/>
    <n v="0"/>
    <n v="0"/>
    <n v="0.03"/>
    <n v="0.03"/>
    <n v="0.03"/>
    <n v="0.03"/>
    <m/>
    <n v="1298.56"/>
    <n v="214.18"/>
    <m/>
    <n v="45.382199999999997"/>
    <n v="45.382199999999997"/>
    <n v="39.384299999999996"/>
    <n v="0"/>
    <n v="0.65692380508121695"/>
    <n v="0"/>
    <n v="0"/>
    <n v="0"/>
    <n v="8.2496461738898699"/>
    <n v="28.864974469521869"/>
    <n v="6.4254232627532097"/>
    <n v="0"/>
    <n v="0"/>
    <n v="0"/>
    <n v="0"/>
    <n v="0"/>
    <n v="0.26819999779090292"/>
    <m/>
    <n v="4.53254054921502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171029452713888"/>
    <n v="0"/>
    <n v="0"/>
    <n v="0"/>
    <n v="0"/>
    <n v="0"/>
    <m/>
    <m/>
    <m/>
    <m/>
    <m/>
    <m/>
    <m/>
    <m/>
    <m/>
    <n v="7.2971335572803486"/>
    <m/>
    <m/>
    <m/>
    <m/>
    <m/>
    <m/>
    <m/>
    <m/>
    <m/>
    <m/>
    <m/>
    <m/>
    <n v="39.384299999999996"/>
    <n v="-6.0278999999999954"/>
    <m/>
    <m/>
    <m/>
    <m/>
    <n v="-6.2213999999999965"/>
    <n v="0.22349999999999964"/>
    <n v="31"/>
    <n v="0.6187117447986239"/>
    <n v="0"/>
    <n v="0"/>
    <n v="0"/>
    <n v="0"/>
    <n v="0"/>
    <n v="0"/>
    <n v="0"/>
    <n v="0.30928433530556987"/>
    <n v="0"/>
    <n v="0"/>
    <n v="0.29434804051281027"/>
    <n v="0"/>
    <n v="0"/>
    <n v="0"/>
    <n v="3.9932967307584111E-2"/>
    <n v="0"/>
    <n v="-4.7908669538579973E-3"/>
    <m/>
    <n v="0"/>
    <n v="0"/>
    <n v="0"/>
    <n v="0"/>
    <n v="-1.504320972241513E-3"/>
    <n v="-2.6698180340472E-3"/>
    <n v="0"/>
    <n v="-1.5888592367195399E-2"/>
    <m/>
    <m/>
    <m/>
    <n v="28.864974469521869"/>
    <n v="0"/>
    <n v="0"/>
    <n v="-6.2213999999999956"/>
    <n v="0.22349999999999959"/>
    <n v="0"/>
    <n v="0"/>
    <n v="-6.616530892135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6"/>
    <s v="Regular"/>
    <s v="Branca"/>
    <s v="B2"/>
    <s v="Rural"/>
    <s v="Não se aplica"/>
    <s v="Não se aplica"/>
    <s v="Não se aplica"/>
    <s v="Fora ponta"/>
    <s v="CATIVO"/>
    <x v="3"/>
    <n v="0"/>
    <n v="0"/>
    <n v="0.36899999999999999"/>
    <n v="0.36899999999999999"/>
    <n v="0.36899999999999999"/>
    <n v="0.36899999999999999"/>
    <m/>
    <n v="308.83999999999997"/>
    <n v="214.18"/>
    <m/>
    <n v="192.99437999999998"/>
    <n v="192.99437999999998"/>
    <n v="180.76940999999999"/>
    <n v="0"/>
    <n v="8.08016280249897"/>
    <n v="0"/>
    <n v="0"/>
    <n v="0"/>
    <n v="20.294707873370445"/>
    <n v="71.007873730728988"/>
    <n v="79.032706131864472"/>
    <n v="0"/>
    <n v="0"/>
    <n v="0"/>
    <n v="0"/>
    <n v="0"/>
    <n v="3.2988599728281058"/>
    <m/>
    <n v="0.55750248755344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72203662268381"/>
    <n v="0"/>
    <n v="0"/>
    <n v="0"/>
    <n v="0"/>
    <n v="0"/>
    <m/>
    <m/>
    <m/>
    <m/>
    <m/>
    <m/>
    <m/>
    <m/>
    <m/>
    <n v="89.754742754548289"/>
    <m/>
    <m/>
    <m/>
    <m/>
    <m/>
    <m/>
    <m/>
    <m/>
    <m/>
    <m/>
    <m/>
    <m/>
    <n v="181.2593"/>
    <n v="-11.765080000000012"/>
    <m/>
    <m/>
    <m/>
    <m/>
    <n v="-14.974019999999994"/>
    <n v="2.7490499999999956"/>
    <n v="31"/>
    <n v="4.0512378284164754"/>
    <n v="0"/>
    <n v="0"/>
    <n v="0"/>
    <n v="0"/>
    <n v="0"/>
    <n v="0"/>
    <n v="0"/>
    <n v="0.76086114513641334"/>
    <n v="0"/>
    <n v="0"/>
    <n v="3.6204808983075765"/>
    <n v="0"/>
    <n v="0"/>
    <n v="0"/>
    <n v="0.49117549788328319"/>
    <n v="0"/>
    <n v="-5.8927663532454488E-2"/>
    <m/>
    <n v="0"/>
    <n v="0"/>
    <n v="0"/>
    <n v="0"/>
    <n v="-1.8503147958570665E-2"/>
    <n v="-3.2838761818780537E-2"/>
    <n v="0"/>
    <n v="-0.71101013960098014"/>
    <m/>
    <m/>
    <m/>
    <n v="71.007873730728988"/>
    <n v="0"/>
    <n v="0"/>
    <n v="-14.974019999999996"/>
    <n v="2.7490499999999969"/>
    <n v="0"/>
    <n v="0"/>
    <n v="-16.276674369496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7"/>
    <s v="Regular"/>
    <s v="Branca"/>
    <s v="B2"/>
    <s v="Rural"/>
    <s v="Não se aplica"/>
    <s v="Não se aplica"/>
    <s v="Não se aplica"/>
    <s v="Não se aplica"/>
    <s v="CATIVO"/>
    <x v="3"/>
    <n v="0"/>
    <n v="0"/>
    <n v="0.27"/>
    <n v="0.27"/>
    <n v="0.27"/>
    <n v="0.27"/>
    <m/>
    <n v="597.01"/>
    <n v="243.39"/>
    <m/>
    <n v="226.90800000000002"/>
    <n v="226.90800000000002"/>
    <n v="205.54560000000004"/>
    <n v="0"/>
    <n v="6.7185389156033528"/>
    <n v="0"/>
    <n v="0"/>
    <n v="0"/>
    <n v="31.641047714644383"/>
    <n v="110.71040168597004"/>
    <n v="65.714556096339663"/>
    <n v="0"/>
    <n v="0"/>
    <n v="0"/>
    <n v="0"/>
    <n v="0"/>
    <n v="2.7429545228615098"/>
    <m/>
    <n v="0.46355528344244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9152189213002835"/>
    <n v="0"/>
    <n v="0.85"/>
    <n v="3.93"/>
    <n v="0"/>
    <n v="5"/>
    <m/>
    <m/>
    <m/>
    <m/>
    <m/>
    <n v="24.667199999999994"/>
    <m/>
    <m/>
    <m/>
    <n v="74.629775017639943"/>
    <m/>
    <m/>
    <m/>
    <m/>
    <m/>
    <m/>
    <m/>
    <m/>
    <m/>
    <m/>
    <m/>
    <m/>
    <n v="180.8784"/>
    <n v="-18.830100000000016"/>
    <m/>
    <m/>
    <m/>
    <m/>
    <n v="-23.646599999999996"/>
    <n v="2.2842000000000025"/>
    <n v="31"/>
    <n v="4.0159322129302097"/>
    <n v="0"/>
    <n v="0"/>
    <n v="0"/>
    <n v="0"/>
    <n v="0"/>
    <n v="0"/>
    <n v="0"/>
    <n v="1.1862424405266303"/>
    <n v="0"/>
    <n v="0"/>
    <n v="3.0103776870629417"/>
    <n v="0"/>
    <n v="0"/>
    <n v="0"/>
    <n v="0.40840534746391732"/>
    <n v="0"/>
    <n v="-4.8997502937188742E-2"/>
    <m/>
    <n v="0"/>
    <n v="0"/>
    <n v="0"/>
    <n v="0"/>
    <n v="-1.5385100852483902E-2"/>
    <n v="-2.7304957166390087E-2"/>
    <n v="0"/>
    <n v="-0.49740570116723065"/>
    <m/>
    <m/>
    <m/>
    <n v="110.71040168597004"/>
    <n v="0"/>
    <n v="0"/>
    <n v="-23.646599999999978"/>
    <n v="2.2841999999999985"/>
    <n v="0"/>
    <n v="0"/>
    <n v="-25.377427359564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8"/>
    <s v="Regular"/>
    <s v="Branca"/>
    <s v="B2"/>
    <s v="Rural"/>
    <s v="Não se aplica"/>
    <s v="Não se aplica"/>
    <s v="Não se aplica"/>
    <s v="Intermediário"/>
    <s v="CATIVO"/>
    <x v="3"/>
    <n v="0"/>
    <n v="0"/>
    <n v="2.1000000000000001E-2"/>
    <n v="2.1000000000000001E-2"/>
    <n v="2.1000000000000001E-2"/>
    <n v="2.1000000000000001E-2"/>
    <m/>
    <n v="803.7"/>
    <n v="214.18"/>
    <m/>
    <n v="21.375480000000003"/>
    <n v="21.375480000000003"/>
    <n v="18.928350000000002"/>
    <n v="0"/>
    <n v="0.45984666355685194"/>
    <n v="0"/>
    <n v="0"/>
    <n v="0"/>
    <n v="3.4648667797903321"/>
    <n v="12.123285118663636"/>
    <n v="4.4977962839272472"/>
    <n v="0"/>
    <n v="0"/>
    <n v="0"/>
    <n v="0"/>
    <n v="0"/>
    <n v="0.18773999845363207"/>
    <m/>
    <n v="3.172778384450514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1019720616899731"/>
    <n v="0"/>
    <n v="0"/>
    <n v="0"/>
    <n v="0"/>
    <n v="0"/>
    <m/>
    <m/>
    <m/>
    <m/>
    <m/>
    <m/>
    <m/>
    <m/>
    <m/>
    <n v="5.1079934900962449"/>
    <m/>
    <m/>
    <m/>
    <m/>
    <m/>
    <m/>
    <m/>
    <m/>
    <m/>
    <m/>
    <m/>
    <m/>
    <n v="18.027000000000001"/>
    <n v="-3.3784800000000068"/>
    <m/>
    <m/>
    <m/>
    <m/>
    <n v="-2.6035800000000004"/>
    <n v="0.15644999999999978"/>
    <n v="31"/>
    <n v="0.33182818697170902"/>
    <n v="0"/>
    <n v="0"/>
    <n v="0"/>
    <n v="0"/>
    <n v="0"/>
    <n v="0"/>
    <n v="0"/>
    <n v="0.12989999768734828"/>
    <n v="0"/>
    <n v="0"/>
    <n v="0.20604362835896772"/>
    <n v="0"/>
    <n v="0"/>
    <n v="0"/>
    <n v="2.7953077115308811E-2"/>
    <n v="0"/>
    <n v="-3.3536068677006425E-3"/>
    <m/>
    <n v="0"/>
    <n v="0"/>
    <n v="0"/>
    <n v="0"/>
    <n v="-1.0530246805690868E-3"/>
    <n v="-1.8688726238330379E-3"/>
    <n v="0"/>
    <n v="-2.5793012017813109E-2"/>
    <m/>
    <m/>
    <m/>
    <n v="12.123285118663636"/>
    <n v="0"/>
    <n v="0"/>
    <n v="-2.6035799999999991"/>
    <n v="0.15644999999999953"/>
    <n v="0"/>
    <n v="0"/>
    <n v="-2.7789420214628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09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7.021999999999998"/>
    <n v="17.021999999999998"/>
    <n v="17.021999999999998"/>
    <n v="17.021999999999998"/>
    <m/>
    <n v="597.01"/>
    <n v="243.39"/>
    <m/>
    <n v="14305.288799999998"/>
    <n v="14305.288799999998"/>
    <n v="12958.508159999998"/>
    <n v="0"/>
    <n v="423.56655341259352"/>
    <n v="0"/>
    <n v="0"/>
    <n v="0"/>
    <n v="1994.7922748099134"/>
    <n v="6979.6757685132661"/>
    <n v="4142.9376810070135"/>
    <n v="0"/>
    <n v="0"/>
    <n v="0"/>
    <n v="0"/>
    <n v="0"/>
    <n v="172.92804403018005"/>
    <m/>
    <n v="29.2245853139158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2.05502399397562"/>
    <n v="0"/>
    <n v="12.27"/>
    <n v="56.59"/>
    <n v="992.33"/>
    <n v="31"/>
    <m/>
    <m/>
    <m/>
    <m/>
    <m/>
    <m/>
    <m/>
    <m/>
    <m/>
    <n v="4704.9927050009892"/>
    <m/>
    <m/>
    <m/>
    <m/>
    <m/>
    <m/>
    <m/>
    <m/>
    <m/>
    <m/>
    <m/>
    <m/>
    <n v="12956.9856"/>
    <n v="-1348.3331999999991"/>
    <m/>
    <m/>
    <m/>
    <m/>
    <n v="-1490.7867599999995"/>
    <n v="144.00612000000012"/>
    <n v="31"/>
    <n v="253.18221529073253"/>
    <n v="0"/>
    <n v="0"/>
    <n v="0"/>
    <n v="0"/>
    <n v="0"/>
    <n v="0"/>
    <n v="0"/>
    <n v="74.78599563942339"/>
    <n v="0"/>
    <n v="0"/>
    <n v="189.78758884883428"/>
    <n v="0"/>
    <n v="0"/>
    <n v="0"/>
    <n v="25.747688239002855"/>
    <n v="0"/>
    <n v="-3.0890203518400767"/>
    <m/>
    <n v="0"/>
    <n v="0"/>
    <n v="0"/>
    <n v="0"/>
    <n v="-0.96994513596658294"/>
    <n v="-1.7214258551344166"/>
    <n v="0"/>
    <n v="-31.358666093587409"/>
    <m/>
    <m/>
    <m/>
    <n v="6979.6757685132661"/>
    <n v="0"/>
    <n v="0"/>
    <n v="-1490.786759999999"/>
    <n v="144.00612000000001"/>
    <n v="0"/>
    <n v="0"/>
    <n v="-1599.9058093129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10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127.328"/>
    <n v="127.328"/>
    <n v="127.328"/>
    <n v="127.328"/>
    <m/>
    <n v="328.35"/>
    <n v="133.86000000000001"/>
    <m/>
    <n v="58852.274880000004"/>
    <n v="58852.274880000004"/>
    <n v="53312.233600000007"/>
    <n v="0"/>
    <n v="1742.5998802787767"/>
    <n v="0"/>
    <n v="0"/>
    <n v="0"/>
    <n v="8206.7971402801177"/>
    <n v="28715.161904552482"/>
    <n v="17044.506108330032"/>
    <n v="0"/>
    <n v="0"/>
    <n v="0"/>
    <n v="0"/>
    <n v="0"/>
    <n v="711.44519414000251"/>
    <m/>
    <n v="120.233192302177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12.3568412823288"/>
    <n v="0"/>
    <n v="0"/>
    <n v="0"/>
    <n v="0"/>
    <n v="5"/>
    <m/>
    <m/>
    <m/>
    <m/>
    <m/>
    <m/>
    <m/>
    <m/>
    <m/>
    <n v="19356.862949612361"/>
    <m/>
    <m/>
    <m/>
    <m/>
    <m/>
    <m/>
    <m/>
    <m/>
    <m/>
    <m/>
    <m/>
    <m/>
    <n v="53313.070999999996"/>
    <n v="-5539.2338800000143"/>
    <m/>
    <m/>
    <m/>
    <m/>
    <n v="-6133.3897600000018"/>
    <n v="593.34847999999954"/>
    <n v="31"/>
    <n v="1041.6197749791609"/>
    <n v="0"/>
    <n v="0"/>
    <n v="0"/>
    <n v="0"/>
    <n v="0"/>
    <n v="0"/>
    <n v="0"/>
    <n v="307.67789854463263"/>
    <n v="0"/>
    <n v="0"/>
    <n v="780.80723546699664"/>
    <n v="0"/>
    <n v="0"/>
    <n v="0"/>
    <n v="105.92885127790487"/>
    <n v="0"/>
    <n v="-12.70857307293727"/>
    <m/>
    <n v="0"/>
    <n v="0"/>
    <n v="0"/>
    <n v="0"/>
    <n v="-3.990462099033607"/>
    <n v="-7.0821373049822824"/>
    <n v="0"/>
    <n v="-129.01303783341416"/>
    <m/>
    <m/>
    <m/>
    <n v="28715.161904552482"/>
    <n v="0"/>
    <n v="0"/>
    <n v="-6133.3897599999982"/>
    <n v="593.34848000000056"/>
    <n v="0"/>
    <n v="0"/>
    <n v="-6582.1903294861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11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55.654000000000003"/>
    <n v="52.31476"/>
    <n v="55.654000000000003"/>
    <n v="52.31476"/>
    <m/>
    <n v="597.01"/>
    <n v="243.39"/>
    <m/>
    <n v="46771.621599999999"/>
    <n v="46771.621599999999"/>
    <n v="42368.277119999999"/>
    <n v="0"/>
    <n v="1384.8650548481073"/>
    <n v="0"/>
    <n v="0"/>
    <n v="0"/>
    <n v="6522.0402574474756"/>
    <n v="22820.284057151766"/>
    <n v="13545.473722169214"/>
    <n v="0"/>
    <n v="0"/>
    <n v="0"/>
    <n v="0"/>
    <n v="0"/>
    <n v="565.39404079753513"/>
    <m/>
    <n v="95.550762017428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7.6577549853555"/>
    <n v="0"/>
    <n v="0"/>
    <n v="0"/>
    <n v="0"/>
    <n v="9"/>
    <m/>
    <m/>
    <m/>
    <m/>
    <n v="2542.0966272000028"/>
    <m/>
    <m/>
    <m/>
    <m/>
    <n v="15383.131477154569"/>
    <m/>
    <m/>
    <m/>
    <m/>
    <m/>
    <m/>
    <m/>
    <m/>
    <m/>
    <m/>
    <m/>
    <m/>
    <n v="39822.556800000006"/>
    <n v="-4142.7975039999947"/>
    <m/>
    <m/>
    <m/>
    <m/>
    <n v="-4874.1773199999998"/>
    <n v="470.83284000000049"/>
    <n v="31"/>
    <n v="827.78774584598796"/>
    <n v="0"/>
    <n v="0"/>
    <n v="0"/>
    <n v="0"/>
    <n v="0"/>
    <n v="0"/>
    <n v="0"/>
    <n v="244.5153214261818"/>
    <n v="0"/>
    <n v="0"/>
    <n v="620.51688813259534"/>
    <n v="0"/>
    <n v="0"/>
    <n v="0"/>
    <n v="84.182930399099405"/>
    <n v="0"/>
    <n v="-10.099655660986173"/>
    <m/>
    <n v="0"/>
    <n v="0"/>
    <n v="0"/>
    <n v="0"/>
    <n v="-3.1712681586819826"/>
    <n v="-5.6282595782898994"/>
    <n v="0"/>
    <n v="-102.52821071392984"/>
    <m/>
    <m/>
    <m/>
    <n v="22820.284057151766"/>
    <n v="0"/>
    <n v="0"/>
    <n v="-4874.1773199999989"/>
    <n v="470.83283999999912"/>
    <n v="0"/>
    <n v="0"/>
    <n v="-5230.945712108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12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2.0830000000000002"/>
    <n v="2.0830000000000002"/>
    <n v="2.0830000000000002"/>
    <n v="2.0830000000000002"/>
    <m/>
    <n v="597.01"/>
    <n v="243.39"/>
    <m/>
    <n v="1750.5532000000001"/>
    <n v="1750.5532000000001"/>
    <n v="1585.7462400000002"/>
    <n v="0"/>
    <n v="51.832283560006609"/>
    <n v="0"/>
    <n v="0"/>
    <n v="0"/>
    <n v="244.10482366520091"/>
    <n v="854.1102470810207"/>
    <n v="506.97563092102047"/>
    <n v="0"/>
    <n v="0"/>
    <n v="0"/>
    <n v="0"/>
    <n v="0"/>
    <n v="21.161386189335278"/>
    <m/>
    <n v="3.57624316818744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77926301136479"/>
    <n v="0"/>
    <n v="0"/>
    <n v="0"/>
    <n v="594.49"/>
    <n v="3"/>
    <m/>
    <m/>
    <m/>
    <m/>
    <m/>
    <m/>
    <m/>
    <m/>
    <m/>
    <n v="575.75489393238524"/>
    <m/>
    <m/>
    <m/>
    <m/>
    <m/>
    <m/>
    <m/>
    <m/>
    <m/>
    <m/>
    <m/>
    <m/>
    <n v="1583.4624000000001"/>
    <n v="-167.12079999999992"/>
    <m/>
    <m/>
    <m/>
    <m/>
    <n v="-182.42913999999999"/>
    <n v="17.622180000000018"/>
    <n v="31"/>
    <n v="30.982173331605622"/>
    <n v="0"/>
    <n v="0"/>
    <n v="0"/>
    <n v="0"/>
    <n v="0"/>
    <n v="0"/>
    <n v="0"/>
    <n v="9.1516407541369347"/>
    <n v="0"/>
    <n v="0"/>
    <n v="23.224506378341118"/>
    <n v="0"/>
    <n v="0"/>
    <n v="0"/>
    <n v="3.150771625064209"/>
    <n v="0"/>
    <n v="-0.37800666154875984"/>
    <m/>
    <n v="0"/>
    <n v="0"/>
    <n v="0"/>
    <n v="0"/>
    <n v="-0.1186932039841615"/>
    <n v="-0.21065268806515025"/>
    <n v="0"/>
    <n v="-3.8373928723383024"/>
    <m/>
    <m/>
    <m/>
    <n v="854.1102470810207"/>
    <n v="0"/>
    <n v="0"/>
    <n v="-182.42913999999996"/>
    <n v="17.622180000000014"/>
    <n v="0"/>
    <n v="0"/>
    <n v="-195.7821525554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13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114"/>
    <s v="Regular"/>
    <s v="Convencional"/>
    <s v="B2"/>
    <s v="Rural"/>
    <s v="Agropecuária rural"/>
    <s v="IRRIG./AQUIC."/>
    <s v="Não se aplica"/>
    <s v="Não se aplica"/>
    <s v="CATIVO"/>
    <x v="3"/>
    <n v="0"/>
    <n v="0"/>
    <n v="1.48"/>
    <n v="1.48"/>
    <n v="1.48"/>
    <n v="1.48"/>
    <m/>
    <n v="597.01"/>
    <n v="243.39"/>
    <m/>
    <n v="1243.7919999999999"/>
    <n v="1243.7919999999999"/>
    <n v="1126.6944000000001"/>
    <n v="0"/>
    <n v="36.827546648492451"/>
    <n v="0"/>
    <n v="0"/>
    <n v="0"/>
    <n v="173.43981710249511"/>
    <n v="606.85701664902092"/>
    <n v="360.21312230586182"/>
    <n v="0"/>
    <n v="0"/>
    <n v="0"/>
    <n v="0"/>
    <n v="0"/>
    <n v="15.035454421611238"/>
    <m/>
    <n v="2.540969701832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868607420460812"/>
    <n v="0"/>
    <n v="0"/>
    <n v="0"/>
    <n v="0"/>
    <n v="0"/>
    <m/>
    <m/>
    <m/>
    <m/>
    <m/>
    <n v="135.21279999999996"/>
    <m/>
    <m/>
    <m/>
    <n v="409.08172972632264"/>
    <m/>
    <m/>
    <m/>
    <m/>
    <m/>
    <m/>
    <m/>
    <m/>
    <m/>
    <m/>
    <m/>
    <m/>
    <n v="991.48160000000007"/>
    <n v="-103.08240000000001"/>
    <m/>
    <m/>
    <m/>
    <m/>
    <n v="-129.61839999999998"/>
    <n v="12.520800000000012"/>
    <n v="31"/>
    <n v="22.013258056061773"/>
    <n v="0"/>
    <n v="0"/>
    <n v="0"/>
    <n v="0"/>
    <n v="0"/>
    <n v="0"/>
    <n v="0"/>
    <n v="6.5023659702941359"/>
    <n v="0"/>
    <n v="0"/>
    <n v="16.501329543900567"/>
    <n v="0"/>
    <n v="0"/>
    <n v="0"/>
    <n v="2.238666349061468"/>
    <n v="0"/>
    <n v="-0.26857890498903458"/>
    <m/>
    <n v="0"/>
    <n v="0"/>
    <n v="0"/>
    <n v="0"/>
    <n v="-8.4333145413614474E-2"/>
    <n v="-0.14967161706021237"/>
    <n v="0"/>
    <n v="-2.7265201397314867"/>
    <m/>
    <m/>
    <m/>
    <n v="606.85701664902092"/>
    <n v="0"/>
    <n v="0"/>
    <n v="-129.61839999999995"/>
    <n v="12.520800000000008"/>
    <n v="0"/>
    <n v="0"/>
    <n v="-139.1058981190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15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0.66600000000000004"/>
    <n v="0.17982000000000001"/>
    <n v="0.66600000000000004"/>
    <n v="0.17982000000000001"/>
    <m/>
    <n v="597.01"/>
    <n v="243.39"/>
    <m/>
    <n v="559.70640000000003"/>
    <n v="559.70640000000003"/>
    <n v="507.01248000000004"/>
    <n v="0"/>
    <n v="16.572395991821605"/>
    <n v="0"/>
    <n v="0"/>
    <n v="0"/>
    <n v="78.047917696122809"/>
    <n v="273.08565749205945"/>
    <n v="162.09590503763783"/>
    <n v="0"/>
    <n v="0"/>
    <n v="0"/>
    <n v="0"/>
    <n v="0"/>
    <n v="6.7659544897250576"/>
    <m/>
    <n v="1.1434363658246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990873339207369"/>
    <n v="0"/>
    <n v="0"/>
    <n v="0"/>
    <n v="0"/>
    <n v="0"/>
    <m/>
    <m/>
    <m/>
    <m/>
    <m/>
    <m/>
    <n v="386.54746560000001"/>
    <m/>
    <m/>
    <n v="184.08677837684519"/>
    <m/>
    <m/>
    <m/>
    <m/>
    <m/>
    <m/>
    <m/>
    <m/>
    <m/>
    <m/>
    <m/>
    <m/>
    <n v="120.5856"/>
    <n v="-12.430281000000008"/>
    <m/>
    <m/>
    <m/>
    <m/>
    <n v="-58.328279999999992"/>
    <n v="5.6343600000000054"/>
    <n v="31"/>
    <n v="9.905966125227792"/>
    <n v="0"/>
    <n v="0"/>
    <n v="0"/>
    <n v="0"/>
    <n v="0"/>
    <n v="0"/>
    <n v="0"/>
    <n v="2.9260646866323583"/>
    <n v="0"/>
    <n v="0"/>
    <n v="7.4255982947552468"/>
    <n v="0"/>
    <n v="0"/>
    <n v="0"/>
    <n v="1.0073998570776581"/>
    <n v="0"/>
    <n v="-0.12086050724506592"/>
    <m/>
    <n v="0"/>
    <n v="0"/>
    <n v="0"/>
    <n v="0"/>
    <n v="-3.7949915436127135E-2"/>
    <n v="-6.73522276770957E-2"/>
    <n v="0"/>
    <n v="-1.226934062879169"/>
    <m/>
    <m/>
    <m/>
    <n v="273.08565749205945"/>
    <n v="0"/>
    <n v="0"/>
    <n v="-58.328280000000007"/>
    <n v="5.6343600000000151"/>
    <n v="0"/>
    <n v="0"/>
    <n v="-62.597654153591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16"/>
    <s v="Regular"/>
    <s v="Convencional"/>
    <s v="B1"/>
    <s v="Residencial"/>
    <s v="Residencial"/>
    <s v="Não se aplica"/>
    <s v="Não se aplica"/>
    <s v="Não se aplica"/>
    <s v="CATIVO"/>
    <x v="4"/>
    <n v="0"/>
    <n v="0"/>
    <n v="199.905"/>
    <n v="199.905"/>
    <n v="199.905"/>
    <n v="199.905"/>
    <m/>
    <n v="597.01"/>
    <n v="243.39"/>
    <m/>
    <n v="168000.16200000001"/>
    <n v="168000.16200000001"/>
    <n v="152183.6784"/>
    <n v="0"/>
    <n v="4974.331562680326"/>
    <n v="0"/>
    <n v="0"/>
    <n v="0"/>
    <n v="23426.680160725871"/>
    <n v="81968.75129271792"/>
    <n v="48654.327171995479"/>
    <n v="0"/>
    <n v="0"/>
    <n v="0"/>
    <n v="0"/>
    <n v="0"/>
    <n v="2030.8530514541856"/>
    <m/>
    <n v="343.21118124652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00.7290313427156"/>
    <n v="0"/>
    <n v="46.42"/>
    <n v="214.26"/>
    <n v="1667.49"/>
    <n v="2018"/>
    <m/>
    <m/>
    <m/>
    <m/>
    <m/>
    <m/>
    <m/>
    <m/>
    <m/>
    <n v="55255.056203338194"/>
    <m/>
    <m/>
    <m/>
    <m/>
    <m/>
    <m/>
    <m/>
    <m/>
    <m/>
    <m/>
    <m/>
    <m/>
    <n v="152187.48480000001"/>
    <n v="-15812.707199999975"/>
    <m/>
    <m/>
    <m/>
    <m/>
    <n v="-17507.679899999996"/>
    <n v="1691.1963000000017"/>
    <n v="30"/>
    <n v="2973.3515889844566"/>
    <n v="0"/>
    <n v="0"/>
    <n v="0"/>
    <n v="0"/>
    <n v="0"/>
    <n v="0"/>
    <n v="0"/>
    <n v="878.28072249435354"/>
    <n v="0"/>
    <n v="0"/>
    <n v="2228.8501908604303"/>
    <n v="0"/>
    <n v="0"/>
    <n v="0"/>
    <n v="302.37878142508907"/>
    <n v="0"/>
    <n v="-36.277206757994463"/>
    <m/>
    <n v="0"/>
    <n v="0"/>
    <n v="0"/>
    <n v="0"/>
    <n v="-11.390957725614044"/>
    <n v="-20.216286897582279"/>
    <n v="0"/>
    <n v="-368.27365441420466"/>
    <m/>
    <m/>
    <m/>
    <n v="81968.75129271792"/>
    <n v="0"/>
    <n v="0"/>
    <n v="-17507.679900000003"/>
    <n v="1691.1963000000032"/>
    <n v="0"/>
    <n v="0"/>
    <n v="-18789.165245606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17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2.1659999999999999"/>
    <n v="2.1659999999999999"/>
    <n v="2.1659999999999999"/>
    <n v="2.1659999999999999"/>
    <m/>
    <n v="597.01"/>
    <n v="243.39"/>
    <m/>
    <n v="1820.3063999999999"/>
    <n v="1820.3063999999999"/>
    <n v="1648.9324799999999"/>
    <n v="0"/>
    <n v="53.897612189618002"/>
    <n v="0"/>
    <n v="0"/>
    <n v="0"/>
    <n v="253.83151611081379"/>
    <n v="888.14344463633734"/>
    <n v="527.17677223952478"/>
    <n v="0"/>
    <n v="0"/>
    <n v="0"/>
    <n v="0"/>
    <n v="0"/>
    <n v="22.004590727844555"/>
    <m/>
    <n v="3.7187434960604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519867346431155"/>
    <n v="0"/>
    <n v="0"/>
    <n v="0"/>
    <n v="0"/>
    <n v="11"/>
    <m/>
    <m/>
    <m/>
    <m/>
    <m/>
    <m/>
    <m/>
    <m/>
    <m/>
    <n v="598.69663958595595"/>
    <m/>
    <m/>
    <m/>
    <m/>
    <m/>
    <m/>
    <m/>
    <m/>
    <m/>
    <m/>
    <m/>
    <m/>
    <n v="1651.9775999999999"/>
    <n v="-168.35879999999997"/>
    <m/>
    <m/>
    <m/>
    <m/>
    <n v="-189.69827999999995"/>
    <n v="18.324360000000016"/>
    <n v="30"/>
    <n v="32.216700641506691"/>
    <n v="0"/>
    <n v="0"/>
    <n v="0"/>
    <n v="0"/>
    <n v="0"/>
    <n v="0"/>
    <n v="0"/>
    <n v="9.5163004673358671"/>
    <n v="0"/>
    <n v="0"/>
    <n v="24.149918778438291"/>
    <n v="0"/>
    <n v="0"/>
    <n v="0"/>
    <n v="3.2763184540994246"/>
    <n v="0"/>
    <n v="-0.39306885689611448"/>
    <m/>
    <n v="0"/>
    <n v="0"/>
    <n v="0"/>
    <n v="0"/>
    <n v="-0.12342269794992689"/>
    <n v="-0.21904643415704017"/>
    <n v="0"/>
    <n v="-3.9902990693637839"/>
    <m/>
    <m/>
    <m/>
    <n v="888.14344463633734"/>
    <n v="0"/>
    <n v="0"/>
    <n v="-189.69828000000007"/>
    <n v="18.324359999999956"/>
    <n v="0"/>
    <n v="0"/>
    <n v="-203.58336170672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18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61.23"/>
    <n v="61.23"/>
    <n v="61.23"/>
    <n v="61.23"/>
    <m/>
    <n v="561.96"/>
    <n v="243.39"/>
    <m/>
    <n v="49311.580499999996"/>
    <n v="49311.580499999996"/>
    <n v="44478.696599999996"/>
    <n v="0"/>
    <n v="0"/>
    <n v="0"/>
    <n v="0"/>
    <n v="0"/>
    <n v="7175.486487287686"/>
    <n v="25106.658871229425"/>
    <n v="14902.600999181026"/>
    <n v="0"/>
    <n v="0"/>
    <n v="0"/>
    <n v="0"/>
    <n v="0"/>
    <n v="0"/>
    <m/>
    <n v="105.124037056225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1.7735353748753"/>
    <n v="0"/>
    <n v="0"/>
    <n v="0"/>
    <n v="0"/>
    <n v="138"/>
    <m/>
    <m/>
    <m/>
    <m/>
    <m/>
    <m/>
    <m/>
    <n v="28910.969099999998"/>
    <m/>
    <n v="16924.3745345559"/>
    <m/>
    <m/>
    <m/>
    <m/>
    <m/>
    <m/>
    <m/>
    <m/>
    <m/>
    <m/>
    <m/>
    <m/>
    <n v="15567.727500000001"/>
    <n v="-1691.8148999999976"/>
    <m/>
    <m/>
    <m/>
    <m/>
    <n v="-5350.8897000000024"/>
    <n v="518.00580000000048"/>
    <n v="30"/>
    <n v="922.29560146641961"/>
    <n v="0"/>
    <n v="0"/>
    <n v="0"/>
    <n v="0"/>
    <n v="0"/>
    <n v="0"/>
    <n v="0"/>
    <n v="269.01342456831753"/>
    <n v="0"/>
    <n v="0"/>
    <n v="682.68676214393963"/>
    <n v="0"/>
    <n v="0"/>
    <n v="0"/>
    <n v="92.617257130428243"/>
    <n v="0"/>
    <n v="0"/>
    <m/>
    <n v="0"/>
    <n v="0"/>
    <n v="0"/>
    <n v="0"/>
    <n v="0"/>
    <n v="-6.1921575085113574"/>
    <n v="0"/>
    <n v="-115.82968486775475"/>
    <m/>
    <m/>
    <m/>
    <n v="25106.658871229425"/>
    <n v="0"/>
    <n v="0"/>
    <n v="-5350.8896999999997"/>
    <n v="518.00580000000082"/>
    <n v="0"/>
    <n v="0"/>
    <n v="-5755.0365823189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19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91.117999999999995"/>
    <n v="91.117999999999995"/>
    <n v="91.117999999999995"/>
    <n v="91.117999999999995"/>
    <m/>
    <n v="561.96"/>
    <n v="243.39"/>
    <m/>
    <n v="73381.881300000008"/>
    <n v="73381.881300000008"/>
    <n v="66189.937559999991"/>
    <n v="0"/>
    <n v="0"/>
    <n v="0"/>
    <n v="0"/>
    <n v="0"/>
    <n v="10678.033280233209"/>
    <n v="37361.890299341547"/>
    <n v="22176.958971801025"/>
    <n v="0"/>
    <n v="0"/>
    <n v="0"/>
    <n v="0"/>
    <n v="0"/>
    <n v="0"/>
    <m/>
    <n v="156.43789006188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8.6552506334783"/>
    <n v="0"/>
    <n v="0"/>
    <n v="0"/>
    <n v="0"/>
    <n v="1289"/>
    <m/>
    <m/>
    <m/>
    <m/>
    <m/>
    <m/>
    <m/>
    <n v="26476.157259999996"/>
    <m/>
    <n v="25185.614222434502"/>
    <m/>
    <m/>
    <m/>
    <m/>
    <m/>
    <m/>
    <m/>
    <m/>
    <m/>
    <m/>
    <m/>
    <m/>
    <n v="39714.652000000002"/>
    <n v="-4314.5067799999961"/>
    <m/>
    <m/>
    <m/>
    <m/>
    <n v="-7962.8020200000037"/>
    <n v="770.85828000000072"/>
    <n v="30"/>
    <n v="1372.4927423553381"/>
    <n v="0"/>
    <n v="0"/>
    <n v="0"/>
    <n v="0"/>
    <n v="0"/>
    <n v="0"/>
    <n v="0"/>
    <n v="400.32606924409447"/>
    <n v="0"/>
    <n v="0"/>
    <n v="1015.9244225548173"/>
    <n v="0"/>
    <n v="0"/>
    <n v="0"/>
    <n v="137.82621648228587"/>
    <n v="0"/>
    <n v="0"/>
    <m/>
    <n v="0"/>
    <n v="0"/>
    <n v="0"/>
    <n v="0"/>
    <n v="0"/>
    <n v="-9.2147151373597467"/>
    <n v="0"/>
    <n v="-172.36925078850362"/>
    <m/>
    <m/>
    <m/>
    <n v="37361.890299341547"/>
    <n v="0"/>
    <n v="0"/>
    <n v="-7962.8020200000028"/>
    <n v="770.85828000000038"/>
    <n v="0"/>
    <n v="0"/>
    <n v="-8564.223800551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0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25.832999999999998"/>
    <n v="25.832999999999998"/>
    <n v="25.832999999999998"/>
    <n v="25.832999999999998"/>
    <m/>
    <n v="561.96"/>
    <n v="243.39"/>
    <m/>
    <n v="20804.60655"/>
    <n v="20804.60655"/>
    <n v="18765.607859999996"/>
    <n v="0"/>
    <n v="0"/>
    <n v="0"/>
    <n v="0"/>
    <n v="0"/>
    <n v="3027.3451318978082"/>
    <n v="10592.525210198755"/>
    <n v="6287.4226949508975"/>
    <n v="0"/>
    <n v="0"/>
    <n v="0"/>
    <n v="0"/>
    <n v="0"/>
    <n v="0"/>
    <m/>
    <n v="44.351939396920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2.98833479240818"/>
    <n v="0"/>
    <n v="0"/>
    <n v="0"/>
    <n v="0"/>
    <n v="562"/>
    <m/>
    <m/>
    <m/>
    <m/>
    <m/>
    <m/>
    <m/>
    <n v="1876.5091199999997"/>
    <m/>
    <n v="7140.4110297433053"/>
    <m/>
    <m/>
    <m/>
    <m/>
    <m/>
    <m/>
    <m/>
    <m/>
    <m/>
    <m/>
    <m/>
    <m/>
    <n v="16887.1374"/>
    <n v="-1837.1676599999992"/>
    <m/>
    <m/>
    <m/>
    <m/>
    <n v="-2257.5458700000008"/>
    <n v="218.5471800000002"/>
    <n v="30"/>
    <n v="389.1174632154507"/>
    <n v="0"/>
    <n v="0"/>
    <n v="0"/>
    <n v="0"/>
    <n v="0"/>
    <n v="0"/>
    <n v="0"/>
    <n v="113.49704061527564"/>
    <n v="0"/>
    <n v="0"/>
    <n v="288.0262473699886"/>
    <n v="0"/>
    <n v="0"/>
    <n v="0"/>
    <n v="39.075316077908724"/>
    <n v="0"/>
    <n v="0"/>
    <m/>
    <n v="0"/>
    <n v="0"/>
    <n v="0"/>
    <n v="0"/>
    <n v="0"/>
    <n v="-2.6124776239976057"/>
    <n v="0"/>
    <n v="-48.868663223725434"/>
    <m/>
    <m/>
    <m/>
    <n v="10592.525210198755"/>
    <n v="0"/>
    <n v="0"/>
    <n v="-2257.5458700000017"/>
    <n v="218.54718000000048"/>
    <n v="0"/>
    <n v="0"/>
    <n v="-2428.0558554800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1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5.7149999999999999"/>
    <n v="5.7149999999999999"/>
    <n v="5.7149999999999999"/>
    <n v="5.7149999999999999"/>
    <m/>
    <n v="561.96"/>
    <n v="243.39"/>
    <m/>
    <n v="4602.5752499999999"/>
    <n v="4602.5752499999999"/>
    <n v="4151.4903000000004"/>
    <n v="0"/>
    <n v="0"/>
    <n v="0"/>
    <n v="0"/>
    <n v="0"/>
    <n v="669.73550995997266"/>
    <n v="2343.370169019699"/>
    <n v="1390.9581040391895"/>
    <n v="0"/>
    <n v="0"/>
    <n v="0"/>
    <n v="0"/>
    <n v="0"/>
    <n v="0"/>
    <m/>
    <n v="9.81192016619839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.70546716752267"/>
    <n v="0"/>
    <n v="45.82"/>
    <n v="211.34"/>
    <n v="794.96"/>
    <n v="52"/>
    <m/>
    <m/>
    <m/>
    <m/>
    <m/>
    <m/>
    <m/>
    <m/>
    <m/>
    <n v="1579.6635712067123"/>
    <m/>
    <m/>
    <m/>
    <m/>
    <m/>
    <m/>
    <m/>
    <m/>
    <m/>
    <m/>
    <m/>
    <m/>
    <n v="4155.1224000000002"/>
    <n v="-447.48285000000033"/>
    <m/>
    <m/>
    <m/>
    <m/>
    <n v="-499.43385000000023"/>
    <n v="48.348900000000043"/>
    <n v="30"/>
    <n v="86.0839353646993"/>
    <n v="0"/>
    <n v="0"/>
    <n v="0"/>
    <n v="0"/>
    <n v="0"/>
    <n v="0"/>
    <n v="0"/>
    <n v="25.108798324480404"/>
    <n v="0"/>
    <n v="0"/>
    <n v="63.719661042832058"/>
    <n v="0"/>
    <n v="0"/>
    <n v="0"/>
    <n v="8.6445798546528749"/>
    <n v="0"/>
    <n v="0"/>
    <m/>
    <n v="0"/>
    <n v="0"/>
    <n v="0"/>
    <n v="0"/>
    <n v="0"/>
    <n v="-0.57795492668859083"/>
    <n v="0"/>
    <n v="-10.811148930576817"/>
    <m/>
    <m/>
    <m/>
    <n v="2343.370169019699"/>
    <n v="0"/>
    <n v="0"/>
    <n v="-499.43384999999989"/>
    <n v="48.348900000000185"/>
    <n v="0"/>
    <n v="0"/>
    <n v="-537.1555457774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2"/>
    <s v="Regular"/>
    <s v="Convencional"/>
    <s v="B3"/>
    <s v="Industrial"/>
    <s v="Não se aplica"/>
    <s v="Não se aplica"/>
    <s v="Não se aplica"/>
    <s v="Não se aplica"/>
    <s v="CATIVO"/>
    <x v="4"/>
    <n v="0"/>
    <n v="0"/>
    <n v="0.41199999999999998"/>
    <n v="0.41199999999999998"/>
    <n v="0.41199999999999998"/>
    <n v="0.41199999999999998"/>
    <m/>
    <n v="597.01"/>
    <n v="243.39"/>
    <m/>
    <n v="346.24479999999994"/>
    <n v="346.24479999999994"/>
    <n v="313.64735999999999"/>
    <n v="0"/>
    <n v="10.251992715661411"/>
    <n v="0"/>
    <n v="0"/>
    <n v="0"/>
    <n v="48.281895031235123"/>
    <n v="168.935872202295"/>
    <n v="100.27554485811828"/>
    <n v="0"/>
    <n v="0"/>
    <n v="0"/>
    <n v="0"/>
    <n v="0"/>
    <n v="4.1855454200701558"/>
    <m/>
    <n v="0.70735102510476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603963687317469"/>
    <n v="0"/>
    <n v="0"/>
    <n v="0"/>
    <n v="0"/>
    <n v="3"/>
    <m/>
    <m/>
    <m/>
    <m/>
    <m/>
    <m/>
    <m/>
    <m/>
    <m/>
    <n v="113.87950854543575"/>
    <m/>
    <m/>
    <m/>
    <m/>
    <m/>
    <m/>
    <m/>
    <m/>
    <m/>
    <m/>
    <m/>
    <m/>
    <n v="312.12479999999999"/>
    <n v="-34.14999999999992"/>
    <m/>
    <m/>
    <m/>
    <m/>
    <n v="-36.082959999999993"/>
    <n v="3.4855200000000033"/>
    <n v="30"/>
    <n v="6.1280150804712719"/>
    <n v="0"/>
    <n v="0"/>
    <n v="0"/>
    <n v="0"/>
    <n v="0"/>
    <n v="0"/>
    <n v="0"/>
    <n v="1.8101180944332285"/>
    <n v="0"/>
    <n v="0"/>
    <n v="4.5936133595182724"/>
    <n v="0"/>
    <n v="0"/>
    <n v="0"/>
    <n v="0.62319630798197601"/>
    <n v="0"/>
    <n v="-7.476656003748694E-2"/>
    <m/>
    <n v="0"/>
    <n v="0"/>
    <n v="0"/>
    <n v="0"/>
    <n v="-2.3476524263791099E-2"/>
    <n v="-4.1665342046491527E-2"/>
    <n v="0"/>
    <n v="-0.7590042551144407"/>
    <m/>
    <m/>
    <m/>
    <n v="168.935872202295"/>
    <n v="0"/>
    <n v="0"/>
    <n v="-36.082959999999986"/>
    <n v="3.4855200000000082"/>
    <n v="0"/>
    <n v="0"/>
    <n v="-38.724074341261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3"/>
    <s v="Regular"/>
    <s v="Verde"/>
    <s v="A4"/>
    <s v="Industrial"/>
    <s v="Não se aplica"/>
    <s v="Não se aplica"/>
    <s v="Não se aplica"/>
    <s v="Ponta"/>
    <s v="CATIVO"/>
    <x v="4"/>
    <n v="0"/>
    <n v="0"/>
    <n v="0.21299999999999999"/>
    <n v="0.21299999999999999"/>
    <n v="0.21299999999999999"/>
    <n v="0.21299999999999999"/>
    <m/>
    <n v="2773.91"/>
    <n v="243.39"/>
    <m/>
    <n v="642.68489999999997"/>
    <n v="642.68489999999997"/>
    <n v="553.23981000000003"/>
    <n v="0"/>
    <n v="4.6111572090757651"/>
    <n v="0"/>
    <n v="0"/>
    <n v="0"/>
    <n v="153.46810160371422"/>
    <n v="427.2238234068185"/>
    <n v="51.841483142667954"/>
    <n v="0"/>
    <n v="0"/>
    <n v="0"/>
    <n v="0"/>
    <n v="0"/>
    <n v="2.1638863458129687"/>
    <m/>
    <n v="0.14775352503589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288944623319256"/>
    <n v="0"/>
    <n v="0"/>
    <n v="0"/>
    <n v="0"/>
    <n v="0"/>
    <m/>
    <m/>
    <m/>
    <m/>
    <m/>
    <m/>
    <m/>
    <m/>
    <m/>
    <n v="55.070377604999877"/>
    <m/>
    <m/>
    <m/>
    <m/>
    <m/>
    <m/>
    <m/>
    <m/>
    <m/>
    <m/>
    <m/>
    <m/>
    <n v="545.44769999999994"/>
    <n v="-97.267200000000003"/>
    <m/>
    <m/>
    <m/>
    <m/>
    <n v="-91.247069999999965"/>
    <n v="1.8019800000000017"/>
    <n v="30"/>
    <n v="8.4841170073869137"/>
    <n v="0"/>
    <n v="0"/>
    <n v="0"/>
    <n v="0"/>
    <n v="0"/>
    <n v="0"/>
    <n v="0"/>
    <n v="5.7536140089667924"/>
    <n v="0"/>
    <n v="0"/>
    <n v="2.3748535086829818"/>
    <n v="0"/>
    <n v="0"/>
    <n v="0"/>
    <n v="0.14791535423348146"/>
    <n v="0"/>
    <n v="-3.3628619515889469E-2"/>
    <m/>
    <n v="0"/>
    <n v="0"/>
    <n v="0"/>
    <n v="0"/>
    <n v="-1.2137135116959463E-2"/>
    <n v="-8.7031769810240189E-3"/>
    <n v="0"/>
    <n v="0.26220306711752062"/>
    <m/>
    <m/>
    <m/>
    <n v="427.2238234068185"/>
    <n v="0"/>
    <n v="0"/>
    <n v="-91.247069999999951"/>
    <n v="1.8019800000000075"/>
    <n v="0"/>
    <n v="0"/>
    <n v="-97.929746253966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4"/>
    <s v="Regular"/>
    <s v="Verde"/>
    <s v="A4"/>
    <s v="Industrial"/>
    <s v="Não se aplica"/>
    <s v="Não se aplica"/>
    <s v="Não se aplica"/>
    <s v="Fora ponta"/>
    <s v="CATIVO"/>
    <x v="4"/>
    <n v="0"/>
    <n v="0"/>
    <n v="30.41"/>
    <n v="30.41"/>
    <n v="30.41"/>
    <n v="30.41"/>
    <m/>
    <n v="47.66"/>
    <n v="243.39"/>
    <m/>
    <n v="8850.8305"/>
    <n v="8850.8305"/>
    <n v="9123.6082000000006"/>
    <n v="0"/>
    <n v="658.334698253493"/>
    <n v="0"/>
    <n v="0"/>
    <n v="0"/>
    <n v="0"/>
    <n v="0"/>
    <n v="7401.4061144062553"/>
    <n v="0"/>
    <n v="0"/>
    <n v="0"/>
    <n v="0"/>
    <n v="0"/>
    <n v="308.93795200080933"/>
    <m/>
    <n v="21.094763832589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98911079583968"/>
    <n v="0"/>
    <n v="0"/>
    <n v="0"/>
    <n v="0"/>
    <n v="0"/>
    <m/>
    <m/>
    <m/>
    <m/>
    <m/>
    <m/>
    <m/>
    <m/>
    <m/>
    <n v="7862.3952252020954"/>
    <m/>
    <m/>
    <m/>
    <m/>
    <m/>
    <m/>
    <m/>
    <m/>
    <m/>
    <m/>
    <m/>
    <m/>
    <n v="9123.6082000000006"/>
    <n v="272.7476999999999"/>
    <m/>
    <m/>
    <m/>
    <m/>
    <n v="15.509100000000156"/>
    <n v="257.26860000000022"/>
    <n v="30"/>
    <n v="272.79234540021207"/>
    <n v="0"/>
    <n v="0"/>
    <n v="0"/>
    <n v="0"/>
    <n v="0"/>
    <n v="0"/>
    <n v="0"/>
    <n v="0"/>
    <n v="0"/>
    <n v="0"/>
    <n v="339.05772393920051"/>
    <n v="0"/>
    <n v="0"/>
    <n v="0"/>
    <n v="21.117868179531399"/>
    <n v="0"/>
    <n v="-4.801156429474986"/>
    <m/>
    <n v="0"/>
    <n v="0"/>
    <n v="0"/>
    <n v="0"/>
    <n v="-1.7328182108298051"/>
    <n v="-1.2425521689809429"/>
    <n v="0"/>
    <n v="-79.606719909233291"/>
    <m/>
    <m/>
    <m/>
    <n v="0"/>
    <n v="0"/>
    <n v="0"/>
    <n v="15.509099999999989"/>
    <n v="257.2686000000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5"/>
    <s v="Regular"/>
    <s v="Verde"/>
    <s v="A4"/>
    <s v="Industrial"/>
    <s v="Não se aplica"/>
    <s v="Não se aplica"/>
    <s v="Não se aplica"/>
    <s v="Não se aplica"/>
    <s v="CATIVO"/>
    <x v="4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n v="30"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126"/>
    <s v="Regular"/>
    <s v="Convencional"/>
    <s v="B3"/>
    <s v="Comercial"/>
    <s v="Não se aplica"/>
    <s v="Não se aplica"/>
    <s v="Não se aplica"/>
    <s v="Não se aplica"/>
    <s v="CATIVO"/>
    <x v="4"/>
    <n v="0"/>
    <n v="0"/>
    <n v="57.223999999999997"/>
    <n v="57.223999999999997"/>
    <n v="57.223999999999997"/>
    <n v="57.223999999999997"/>
    <m/>
    <n v="597.01"/>
    <n v="243.39"/>
    <m/>
    <n v="48091.049599999998"/>
    <n v="48091.049599999998"/>
    <n v="43563.486720000001"/>
    <n v="0"/>
    <n v="1423.9321144684675"/>
    <n v="0"/>
    <n v="0"/>
    <n v="0"/>
    <n v="6706.0270904548515"/>
    <n v="23464.044541029441"/>
    <n v="13927.591696507186"/>
    <n v="0"/>
    <n v="0"/>
    <n v="0"/>
    <n v="0"/>
    <n v="0"/>
    <n v="581.34381339343338"/>
    <m/>
    <n v="98.2462501470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9.4981020462496"/>
    <n v="0"/>
    <n v="75.459999999999994"/>
    <n v="348.2"/>
    <n v="4419.01"/>
    <n v="208"/>
    <m/>
    <m/>
    <m/>
    <m/>
    <m/>
    <m/>
    <m/>
    <m/>
    <m/>
    <n v="15817.089798553436"/>
    <m/>
    <m/>
    <m/>
    <m/>
    <m/>
    <m/>
    <m/>
    <m/>
    <m/>
    <m/>
    <m/>
    <m/>
    <n v="43560.441599999998"/>
    <n v="-4530.6380000000063"/>
    <m/>
    <m/>
    <m/>
    <m/>
    <n v="-5011.6779199999992"/>
    <n v="484.11504000000042"/>
    <n v="30"/>
    <n v="851.13964797302106"/>
    <n v="0"/>
    <n v="0"/>
    <n v="0"/>
    <n v="0"/>
    <n v="0"/>
    <n v="0"/>
    <n v="0"/>
    <n v="251.41310154331768"/>
    <n v="0"/>
    <n v="0"/>
    <n v="638.02167690551687"/>
    <n v="0"/>
    <n v="0"/>
    <n v="0"/>
    <n v="86.557731863981871"/>
    <n v="0"/>
    <n v="-10.38456706695456"/>
    <m/>
    <n v="0"/>
    <n v="0"/>
    <n v="0"/>
    <n v="0"/>
    <n v="-3.2607296710464198"/>
    <n v="-5.7870328477388995"/>
    <n v="0"/>
    <n v="-105.42053275405041"/>
    <m/>
    <m/>
    <m/>
    <n v="23464.044541029441"/>
    <n v="0"/>
    <n v="0"/>
    <n v="-5011.6779199999983"/>
    <n v="484.11504000000059"/>
    <n v="0"/>
    <n v="0"/>
    <n v="-5378.5107526803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7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3.1739999999999999"/>
    <n v="3.1739999999999999"/>
    <n v="3.1739999999999999"/>
    <n v="3.1739999999999999"/>
    <m/>
    <n v="597.01"/>
    <n v="243.39"/>
    <m/>
    <n v="2667.4295999999999"/>
    <n v="2667.4295999999999"/>
    <n v="2416.3027200000001"/>
    <n v="0"/>
    <n v="78.980157474537179"/>
    <n v="0"/>
    <n v="0"/>
    <n v="0"/>
    <n v="371.95809424548617"/>
    <n v="1301.4622775972921"/>
    <n v="772.51111499919284"/>
    <n v="0"/>
    <n v="0"/>
    <n v="0"/>
    <n v="0"/>
    <n v="0"/>
    <n v="32.244954279860856"/>
    <m/>
    <n v="5.44934988757895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.80335131928555"/>
    <n v="0"/>
    <n v="0"/>
    <n v="0"/>
    <n v="0"/>
    <n v="6"/>
    <m/>
    <m/>
    <m/>
    <m/>
    <m/>
    <m/>
    <m/>
    <m/>
    <m/>
    <n v="877.31446631847837"/>
    <m/>
    <m/>
    <m/>
    <m/>
    <m/>
    <m/>
    <m/>
    <m/>
    <m/>
    <m/>
    <m/>
    <m/>
    <n v="2413.2575999999999"/>
    <n v="-254.20200000000023"/>
    <m/>
    <m/>
    <m/>
    <m/>
    <n v="-277.97891999999996"/>
    <n v="26.852040000000024"/>
    <n v="30"/>
    <n v="47.209514236445784"/>
    <n v="0"/>
    <n v="0"/>
    <n v="0"/>
    <n v="0"/>
    <n v="0"/>
    <n v="0"/>
    <n v="0"/>
    <n v="13.944938911968563"/>
    <n v="0"/>
    <n v="0"/>
    <n v="35.388662143473198"/>
    <n v="0"/>
    <n v="0"/>
    <n v="0"/>
    <n v="4.8010317512980407"/>
    <n v="0"/>
    <n v="-0.57599286786161485"/>
    <m/>
    <n v="0"/>
    <n v="0"/>
    <n v="0"/>
    <n v="0"/>
    <n v="-0.18086040779919443"/>
    <n v="-0.32098494091156304"/>
    <n v="0"/>
    <n v="-5.8472803537214455"/>
    <m/>
    <m/>
    <m/>
    <n v="1301.4622775972921"/>
    <n v="0"/>
    <n v="0"/>
    <n v="-277.97891999999979"/>
    <n v="26.852039999999988"/>
    <n v="0"/>
    <n v="0"/>
    <n v="-298.32575718243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8"/>
    <s v="Regular"/>
    <s v="Branca"/>
    <s v="B3"/>
    <s v="Comercial"/>
    <s v="Não se aplica"/>
    <s v="Não se aplica"/>
    <s v="Não se aplica"/>
    <s v="Ponta"/>
    <s v="CATIVO"/>
    <x v="4"/>
    <n v="0"/>
    <n v="0"/>
    <n v="1.2E-2"/>
    <n v="1.2E-2"/>
    <n v="1.2E-2"/>
    <n v="1.2E-2"/>
    <m/>
    <n v="1783.27"/>
    <n v="243.39"/>
    <m/>
    <n v="24.31992"/>
    <n v="24.31992"/>
    <n v="20.971440000000001"/>
    <n v="0"/>
    <n v="0.29860172958237119"/>
    <n v="0"/>
    <n v="0"/>
    <n v="0"/>
    <n v="4.5703759872473402"/>
    <n v="15.9915089353344"/>
    <n v="2.9206469376150959"/>
    <n v="0"/>
    <n v="0"/>
    <n v="0"/>
    <n v="0"/>
    <n v="0"/>
    <n v="0.121909089904956"/>
    <m/>
    <n v="2.06024570418863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9623195205779038"/>
    <n v="0"/>
    <n v="0"/>
    <n v="0"/>
    <n v="0"/>
    <n v="0"/>
    <m/>
    <m/>
    <m/>
    <m/>
    <m/>
    <m/>
    <m/>
    <m/>
    <m/>
    <n v="3.3168788896728865"/>
    <m/>
    <m/>
    <m/>
    <m/>
    <m/>
    <m/>
    <m/>
    <m/>
    <m/>
    <m/>
    <m/>
    <m/>
    <n v="17.476200000000002"/>
    <n v="-6.8737200000000023"/>
    <m/>
    <m/>
    <m/>
    <m/>
    <n v="-3.45"/>
    <n v="0.1015200000000001"/>
    <n v="30"/>
    <n v="0.31720665516410662"/>
    <n v="0"/>
    <n v="0"/>
    <n v="0"/>
    <n v="0"/>
    <n v="0"/>
    <n v="0"/>
    <n v="0"/>
    <n v="0.17134622134293576"/>
    <n v="0"/>
    <n v="0"/>
    <n v="0.13379456386946398"/>
    <n v="0"/>
    <n v="0"/>
    <n v="0"/>
    <n v="1.8151348776174026E-2"/>
    <n v="0"/>
    <n v="-2.1776667972083774E-3"/>
    <m/>
    <n v="0"/>
    <n v="0"/>
    <n v="0"/>
    <n v="0"/>
    <n v="-6.8378226011039933E-4"/>
    <n v="-1.2135536518395572E-3"/>
    <n v="0"/>
    <n v="-2.0104761153067197E-3"/>
    <m/>
    <m/>
    <m/>
    <n v="15.9915089353344"/>
    <n v="0"/>
    <n v="0"/>
    <n v="-3.4499999999999993"/>
    <n v="0.10151999999999983"/>
    <n v="0"/>
    <n v="0"/>
    <n v="-3.66562987936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29"/>
    <s v="Regular"/>
    <s v="Branca"/>
    <s v="B3"/>
    <s v="Comercial"/>
    <s v="Não se aplica"/>
    <s v="Não se aplica"/>
    <s v="Não se aplica"/>
    <s v="Fora ponta"/>
    <s v="CATIVO"/>
    <x v="4"/>
    <n v="0"/>
    <n v="0"/>
    <n v="0.52200000000000002"/>
    <n v="0.52200000000000002"/>
    <n v="0.52200000000000002"/>
    <n v="0.52200000000000002"/>
    <m/>
    <n v="412.48"/>
    <n v="243.39"/>
    <m/>
    <n v="342.36414000000002"/>
    <n v="342.36414000000002"/>
    <n v="317.29769999999996"/>
    <n v="0"/>
    <n v="12.989175236833148"/>
    <n v="0"/>
    <n v="0"/>
    <n v="0"/>
    <n v="39.762898882042059"/>
    <n v="139.12618646997305"/>
    <n v="127.04814178625668"/>
    <n v="0"/>
    <n v="0"/>
    <n v="0"/>
    <n v="0"/>
    <n v="0"/>
    <n v="5.303045410865586"/>
    <m/>
    <n v="0.89620688132205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236089914513883"/>
    <n v="0"/>
    <n v="0"/>
    <n v="0"/>
    <n v="0"/>
    <n v="0"/>
    <m/>
    <m/>
    <m/>
    <m/>
    <m/>
    <m/>
    <m/>
    <m/>
    <m/>
    <n v="144.28423170077056"/>
    <m/>
    <m/>
    <m/>
    <m/>
    <m/>
    <m/>
    <m/>
    <m/>
    <m/>
    <m/>
    <m/>
    <m/>
    <n v="316.08199999999999"/>
    <n v="-26.312139999999999"/>
    <m/>
    <m/>
    <m/>
    <m/>
    <n v="-29.48256000000001"/>
    <n v="4.4161200000000047"/>
    <n v="30"/>
    <n v="6.8254844481969315"/>
    <n v="0"/>
    <n v="0"/>
    <n v="0"/>
    <n v="0"/>
    <n v="0"/>
    <n v="0"/>
    <n v="0"/>
    <n v="1.4907356620309287"/>
    <n v="0"/>
    <n v="0"/>
    <n v="5.8200635283216968"/>
    <n v="0"/>
    <n v="0"/>
    <n v="0"/>
    <n v="0.78958367176356958"/>
    <n v="0"/>
    <n v="-9.4728505678565611E-2"/>
    <m/>
    <n v="0"/>
    <n v="0"/>
    <n v="0"/>
    <n v="0"/>
    <n v="-2.9744528314802565E-2"/>
    <n v="-5.2789583855020861E-2"/>
    <n v="0"/>
    <n v="-1.0976357960708341"/>
    <m/>
    <m/>
    <m/>
    <n v="139.12618646997305"/>
    <n v="0"/>
    <n v="0"/>
    <n v="-29.482560000000035"/>
    <n v="4.4161200000000065"/>
    <n v="0"/>
    <n v="0"/>
    <n v="-31.890993413334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0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131"/>
    <s v="Regular"/>
    <s v="Branca"/>
    <s v="B3"/>
    <s v="Comercial"/>
    <s v="Não se aplica"/>
    <s v="Não se aplica"/>
    <s v="Não se aplica"/>
    <s v="Intermediário"/>
    <s v="CATIVO"/>
    <x v="4"/>
    <n v="0"/>
    <n v="0"/>
    <n v="1.2E-2"/>
    <n v="1.2E-2"/>
    <n v="1.2E-2"/>
    <n v="1.2E-2"/>
    <m/>
    <n v="1097.8699999999999"/>
    <n v="243.39"/>
    <m/>
    <n v="16.095119999999998"/>
    <n v="16.095119999999998"/>
    <n v="14.132759999999999"/>
    <n v="0"/>
    <n v="0.29860172958237119"/>
    <n v="0"/>
    <n v="0"/>
    <n v="0"/>
    <n v="2.7422466853047482"/>
    <n v="9.5949037859977935"/>
    <n v="2.9206469376150959"/>
    <n v="0"/>
    <n v="0"/>
    <n v="0"/>
    <n v="0"/>
    <n v="0"/>
    <n v="0.121909089904956"/>
    <m/>
    <n v="2.06024570418863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9623195205779038"/>
    <n v="0"/>
    <n v="0"/>
    <n v="0"/>
    <n v="0"/>
    <n v="0"/>
    <m/>
    <m/>
    <m/>
    <m/>
    <m/>
    <m/>
    <m/>
    <m/>
    <m/>
    <n v="3.3168788896728865"/>
    <m/>
    <m/>
    <m/>
    <m/>
    <m/>
    <m/>
    <m/>
    <m/>
    <m/>
    <m/>
    <m/>
    <m/>
    <n v="11.7773"/>
    <n v="-4.3478199999999987"/>
    <m/>
    <m/>
    <m/>
    <m/>
    <n v="-2.0638799999999988"/>
    <n v="0.1015200000000001"/>
    <n v="30"/>
    <n v="0.23705770848335472"/>
    <n v="0"/>
    <n v="0"/>
    <n v="0"/>
    <n v="0"/>
    <n v="0"/>
    <n v="0"/>
    <n v="0"/>
    <n v="0.10280852359373993"/>
    <n v="0"/>
    <n v="0"/>
    <n v="0.13379456386946398"/>
    <n v="0"/>
    <n v="0"/>
    <n v="0"/>
    <n v="1.8151348776174026E-2"/>
    <n v="0"/>
    <n v="-2.1776667972083774E-3"/>
    <m/>
    <n v="0"/>
    <n v="0"/>
    <n v="0"/>
    <n v="0"/>
    <n v="-6.8378226011039933E-4"/>
    <n v="-1.2135536518395572E-3"/>
    <n v="0"/>
    <n v="-1.3621725046864198E-2"/>
    <m/>
    <m/>
    <m/>
    <n v="9.5949037859977935"/>
    <n v="0"/>
    <n v="0"/>
    <n v="-2.0638799999999993"/>
    <n v="0.10151999999999983"/>
    <n v="0"/>
    <n v="0"/>
    <n v="-2.1993775665437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2"/>
    <s v="Regular"/>
    <s v="Convencional"/>
    <s v="B2"/>
    <s v="Rural"/>
    <s v="Não se aplica"/>
    <s v="Não se aplica"/>
    <s v="Não se aplica"/>
    <s v="Não se aplica"/>
    <s v="CATIVO"/>
    <x v="4"/>
    <n v="0"/>
    <n v="0"/>
    <n v="186.982"/>
    <n v="186.982"/>
    <n v="186.982"/>
    <n v="186.982"/>
    <m/>
    <n v="597.01"/>
    <n v="243.39"/>
    <m/>
    <n v="157139.6728"/>
    <n v="157139.6728"/>
    <n v="142345.65695999999"/>
    <n v="0"/>
    <n v="4652.7623833975777"/>
    <n v="0"/>
    <n v="0"/>
    <n v="0"/>
    <n v="21912.245865850502"/>
    <n v="76669.823437207582"/>
    <n v="45509.033807428823"/>
    <n v="0"/>
    <n v="0"/>
    <n v="0"/>
    <n v="0"/>
    <n v="0"/>
    <n v="1899.5671207173734"/>
    <m/>
    <n v="321.02405188383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74.0202383058131"/>
    <n v="0"/>
    <n v="108.66"/>
    <n v="501.72"/>
    <n v="0"/>
    <n v="1778"/>
    <m/>
    <m/>
    <m/>
    <m/>
    <m/>
    <n v="17082.675519999997"/>
    <m/>
    <m/>
    <m/>
    <n v="51683.054045734636"/>
    <m/>
    <m/>
    <m/>
    <m/>
    <m/>
    <m/>
    <m/>
    <m/>
    <m/>
    <m/>
    <m/>
    <m/>
    <n v="125261.6416"/>
    <n v="-13020.926500000001"/>
    <m/>
    <m/>
    <m/>
    <m/>
    <n v="-16375.883559999997"/>
    <n v="1581.8677200000016"/>
    <n v="30"/>
    <n v="2781.1371742152405"/>
    <n v="0"/>
    <n v="0"/>
    <n v="0"/>
    <n v="0"/>
    <n v="0"/>
    <n v="0"/>
    <n v="0"/>
    <n v="821.50364449833432"/>
    <n v="0"/>
    <n v="0"/>
    <n v="2084.7645951200102"/>
    <n v="0"/>
    <n v="0"/>
    <n v="0"/>
    <n v="282.83129140554865"/>
    <n v="0"/>
    <n v="-33.932041089635277"/>
    <m/>
    <n v="0"/>
    <n v="0"/>
    <n v="0"/>
    <n v="0"/>
    <n v="-10.654581213330175"/>
    <n v="-18.909390744022062"/>
    <n v="0"/>
    <n v="-344.46634376167083"/>
    <m/>
    <m/>
    <m/>
    <n v="76669.823437207582"/>
    <n v="0"/>
    <n v="0"/>
    <n v="-16375.883559999987"/>
    <n v="1581.867720000002"/>
    <n v="0"/>
    <n v="0"/>
    <n v="-17574.526379800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3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3.367"/>
    <n v="3.367"/>
    <n v="3.367"/>
    <n v="3.367"/>
    <m/>
    <n v="597.01"/>
    <n v="243.39"/>
    <m/>
    <n v="2829.6268"/>
    <n v="2829.6268"/>
    <n v="2563.2297600000002"/>
    <n v="0"/>
    <n v="83.782668625320326"/>
    <n v="0"/>
    <n v="0"/>
    <n v="0"/>
    <n v="394.57558390817638"/>
    <n v="1380.5997128765225"/>
    <n v="819.48485324583567"/>
    <n v="0"/>
    <n v="0"/>
    <n v="0"/>
    <n v="0"/>
    <n v="0"/>
    <n v="34.20565880916557"/>
    <m/>
    <n v="5.78070607166929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.17608188154836"/>
    <n v="0"/>
    <n v="0"/>
    <n v="0"/>
    <n v="0"/>
    <n v="7"/>
    <m/>
    <m/>
    <m/>
    <m/>
    <m/>
    <n v="307.60911999999996"/>
    <m/>
    <m/>
    <m/>
    <n v="930.66093512738405"/>
    <m/>
    <m/>
    <m/>
    <m/>
    <m/>
    <m/>
    <m/>
    <m/>
    <m/>
    <m/>
    <m/>
    <m/>
    <n v="2257.6304"/>
    <n v="-232.4644500000004"/>
    <m/>
    <m/>
    <m/>
    <m/>
    <n v="-294.88185999999996"/>
    <n v="28.484820000000028"/>
    <n v="30"/>
    <n v="50.080162077540763"/>
    <n v="0"/>
    <n v="0"/>
    <n v="0"/>
    <n v="0"/>
    <n v="0"/>
    <n v="0"/>
    <n v="0"/>
    <n v="14.792882582419111"/>
    <n v="0"/>
    <n v="0"/>
    <n v="37.540524712373781"/>
    <n v="0"/>
    <n v="0"/>
    <n v="0"/>
    <n v="5.0929659441148232"/>
    <n v="0"/>
    <n v="-0.61101700885005528"/>
    <m/>
    <n v="0"/>
    <n v="0"/>
    <n v="0"/>
    <n v="0"/>
    <n v="-0.19185790581597928"/>
    <n v="-0.34050292881198274"/>
    <n v="0"/>
    <n v="-6.2028333178891319"/>
    <m/>
    <m/>
    <m/>
    <n v="1380.5997128765225"/>
    <n v="0"/>
    <n v="0"/>
    <n v="-294.88185999999996"/>
    <n v="28.484820000000013"/>
    <n v="0"/>
    <n v="0"/>
    <n v="-316.46591822093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4"/>
    <s v="Regular"/>
    <s v="Branca"/>
    <s v="B2"/>
    <s v="Rural"/>
    <s v="Não se aplica"/>
    <s v="Não se aplica"/>
    <s v="Não se aplica"/>
    <s v="Ponta"/>
    <s v="CATIVO"/>
    <x v="4"/>
    <n v="0"/>
    <n v="0"/>
    <n v="2.8000000000000001E-2"/>
    <n v="2.8000000000000001E-2"/>
    <n v="2.8000000000000001E-2"/>
    <n v="2.8000000000000001E-2"/>
    <m/>
    <n v="1298.56"/>
    <n v="214.18"/>
    <m/>
    <n v="42.356719999999996"/>
    <n v="42.356719999999996"/>
    <n v="36.758680000000005"/>
    <n v="0"/>
    <n v="0.61312888474246918"/>
    <n v="0"/>
    <n v="0"/>
    <n v="0"/>
    <n v="7.6996697622972121"/>
    <n v="26.940642838220413"/>
    <n v="5.9970617119029956"/>
    <n v="0"/>
    <n v="0"/>
    <n v="0"/>
    <n v="0"/>
    <n v="0"/>
    <n v="0.25031999793817605"/>
    <m/>
    <n v="4.230371179267352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359627489199637"/>
    <n v="0"/>
    <n v="0"/>
    <n v="0"/>
    <n v="0"/>
    <n v="0"/>
    <m/>
    <m/>
    <m/>
    <m/>
    <m/>
    <m/>
    <m/>
    <m/>
    <m/>
    <n v="6.8106579867949923"/>
    <m/>
    <m/>
    <m/>
    <m/>
    <m/>
    <m/>
    <m/>
    <m/>
    <m/>
    <m/>
    <m/>
    <m/>
    <n v="39.384299999999996"/>
    <n v="-3.0024199999999936"/>
    <m/>
    <m/>
    <m/>
    <m/>
    <n v="-5.8066399999999971"/>
    <n v="0.20859999999999967"/>
    <n v="30"/>
    <n v="0.577464295145381"/>
    <n v="0"/>
    <n v="0"/>
    <n v="0"/>
    <n v="0"/>
    <n v="0"/>
    <n v="0"/>
    <n v="0"/>
    <n v="0.28866537961853211"/>
    <n v="0"/>
    <n v="0"/>
    <n v="0.27472483781195667"/>
    <n v="0"/>
    <n v="0"/>
    <n v="0"/>
    <n v="3.7270769487078415E-2"/>
    <n v="0"/>
    <n v="-4.4714758236007457E-3"/>
    <m/>
    <n v="0"/>
    <n v="0"/>
    <n v="0"/>
    <n v="0"/>
    <n v="-1.4040329074254121E-3"/>
    <n v="-2.4918301651107241E-3"/>
    <n v="0"/>
    <n v="-1.4829352876049036E-2"/>
    <m/>
    <m/>
    <m/>
    <n v="26.940642838220413"/>
    <n v="0"/>
    <n v="0"/>
    <n v="-5.8066399999999945"/>
    <n v="0.20859999999999967"/>
    <n v="0"/>
    <n v="0"/>
    <n v="-6.1754288326599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5"/>
    <s v="Regular"/>
    <s v="Branca"/>
    <s v="B2"/>
    <s v="Rural"/>
    <s v="Não se aplica"/>
    <s v="Não se aplica"/>
    <s v="Não se aplica"/>
    <s v="Fora ponta"/>
    <s v="CATIVO"/>
    <x v="4"/>
    <n v="0"/>
    <n v="0"/>
    <n v="0.7"/>
    <n v="0.7"/>
    <n v="0.7"/>
    <n v="0.7"/>
    <m/>
    <n v="308.83999999999997"/>
    <n v="214.18"/>
    <m/>
    <n v="366.11399999999992"/>
    <n v="366.11399999999992"/>
    <n v="342.923"/>
    <n v="0"/>
    <n v="15.32822211856173"/>
    <n v="0"/>
    <n v="0"/>
    <n v="0"/>
    <n v="38.499445830242038"/>
    <n v="134.70328350002791"/>
    <n v="149.92654279757488"/>
    <n v="0"/>
    <n v="0"/>
    <n v="0"/>
    <n v="0"/>
    <n v="0"/>
    <n v="6.2579999484544011"/>
    <m/>
    <n v="1.057592794816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39906872299906"/>
    <n v="0"/>
    <n v="0"/>
    <n v="0"/>
    <n v="0"/>
    <n v="0"/>
    <m/>
    <m/>
    <m/>
    <m/>
    <m/>
    <m/>
    <m/>
    <m/>
    <m/>
    <n v="170.26644966987479"/>
    <m/>
    <m/>
    <m/>
    <m/>
    <m/>
    <m/>
    <m/>
    <m/>
    <m/>
    <m/>
    <m/>
    <m/>
    <n v="342.923"/>
    <n v="-23.22099999999989"/>
    <m/>
    <m/>
    <m/>
    <m/>
    <n v="-28.405999999999988"/>
    <n v="5.2149999999999919"/>
    <n v="30"/>
    <n v="7.6852750132562164"/>
    <n v="0"/>
    <n v="0"/>
    <n v="0"/>
    <n v="0"/>
    <n v="0"/>
    <n v="0"/>
    <n v="0"/>
    <n v="1.4433680260040305"/>
    <n v="0"/>
    <n v="0"/>
    <n v="6.8681209452989265"/>
    <n v="0"/>
    <n v="0"/>
    <n v="0"/>
    <n v="0.9317692371769617"/>
    <n v="0"/>
    <n v="-0.11178689559002031"/>
    <m/>
    <n v="0"/>
    <n v="0"/>
    <n v="0"/>
    <n v="0"/>
    <n v="-3.5100822685635968E-2"/>
    <n v="-6.2295754127767999E-2"/>
    <n v="0"/>
    <n v="-1.3487997228202875"/>
    <m/>
    <m/>
    <m/>
    <n v="134.70328350002791"/>
    <n v="0"/>
    <n v="0"/>
    <n v="-28.405999999999977"/>
    <n v="5.2150000000000034"/>
    <n v="0"/>
    <n v="0"/>
    <n v="-30.877160050535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6"/>
    <s v="Regular"/>
    <s v="Branca"/>
    <s v="B2"/>
    <s v="Rural"/>
    <s v="Não se aplica"/>
    <s v="Não se aplica"/>
    <s v="Não se aplica"/>
    <s v="Não se aplica"/>
    <s v="CATIVO"/>
    <x v="4"/>
    <n v="0"/>
    <n v="0"/>
    <n v="0.154"/>
    <n v="0.154"/>
    <n v="0.154"/>
    <n v="0.154"/>
    <m/>
    <n v="597.01"/>
    <n v="243.39"/>
    <m/>
    <n v="129.42159999999998"/>
    <n v="129.42159999999998"/>
    <n v="117.23712"/>
    <n v="0"/>
    <n v="3.8320555296404306"/>
    <n v="0"/>
    <n v="0"/>
    <n v="0"/>
    <n v="18.047116103908277"/>
    <n v="63.145932813479206"/>
    <n v="37.481635699393728"/>
    <n v="0"/>
    <n v="0"/>
    <n v="0"/>
    <n v="0"/>
    <n v="0"/>
    <n v="1.5644999871136018"/>
    <m/>
    <n v="0.264398198704208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849767180749765"/>
    <n v="0"/>
    <n v="0.87"/>
    <n v="4.05"/>
    <n v="0"/>
    <n v="6"/>
    <m/>
    <m/>
    <m/>
    <m/>
    <m/>
    <n v="14.069439999999997"/>
    <m/>
    <m/>
    <m/>
    <n v="42.566612417468704"/>
    <m/>
    <m/>
    <m/>
    <m/>
    <m/>
    <m/>
    <m/>
    <m/>
    <m/>
    <m/>
    <m/>
    <m/>
    <n v="100.488"/>
    <n v="-13.432700000000025"/>
    <m/>
    <m/>
    <m/>
    <m/>
    <n v="-13.487319999999997"/>
    <n v="1.3028400000000011"/>
    <n v="30"/>
    <n v="2.2905687436712725"/>
    <n v="0"/>
    <n v="0"/>
    <n v="0"/>
    <n v="0"/>
    <n v="0"/>
    <n v="0"/>
    <n v="0"/>
    <n v="0.67659754015222617"/>
    <n v="0"/>
    <n v="0"/>
    <n v="1.7170302363247885"/>
    <n v="0"/>
    <n v="0"/>
    <n v="0"/>
    <n v="0.23294230929423332"/>
    <n v="0"/>
    <n v="-2.7946723897507741E-2"/>
    <m/>
    <n v="0"/>
    <n v="0"/>
    <n v="0"/>
    <n v="0"/>
    <n v="-8.7752056714167637E-3"/>
    <n v="-1.5573938531941001E-2"/>
    <n v="0"/>
    <n v="-0.28370547399908713"/>
    <m/>
    <m/>
    <m/>
    <n v="63.145932813479206"/>
    <n v="0"/>
    <n v="0"/>
    <n v="-13.487319999999997"/>
    <n v="1.3028400000000033"/>
    <n v="0"/>
    <n v="0"/>
    <n v="-14.47453264212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7"/>
    <s v="Regular"/>
    <s v="Branca"/>
    <s v="B2"/>
    <s v="Rural"/>
    <s v="Não se aplica"/>
    <s v="Não se aplica"/>
    <s v="Não se aplica"/>
    <s v="Intermediário"/>
    <s v="CATIVO"/>
    <x v="4"/>
    <n v="0"/>
    <n v="0"/>
    <n v="2.5000000000000001E-2"/>
    <n v="2.5000000000000001E-2"/>
    <n v="2.5000000000000001E-2"/>
    <n v="2.5000000000000001E-2"/>
    <m/>
    <n v="803.7"/>
    <n v="214.18"/>
    <m/>
    <n v="25.447000000000003"/>
    <n v="25.447000000000003"/>
    <n v="22.533750000000001"/>
    <n v="0"/>
    <n v="0.54743650423434753"/>
    <n v="0"/>
    <n v="0"/>
    <n v="0"/>
    <n v="4.1248414045123001"/>
    <n v="14.432482284123376"/>
    <n v="5.3545193856276754"/>
    <n v="0"/>
    <n v="0"/>
    <n v="0"/>
    <n v="0"/>
    <n v="0"/>
    <n v="0.22349999815908578"/>
    <m/>
    <n v="3.77711712434585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2642524543928255"/>
    <n v="0"/>
    <n v="0"/>
    <n v="0"/>
    <n v="0"/>
    <n v="0"/>
    <m/>
    <m/>
    <m/>
    <m/>
    <m/>
    <m/>
    <m/>
    <m/>
    <m/>
    <n v="6.0809446310669575"/>
    <m/>
    <m/>
    <m/>
    <m/>
    <m/>
    <m/>
    <m/>
    <m/>
    <m/>
    <m/>
    <m/>
    <m/>
    <n v="27.040500000000002"/>
    <n v="1.5634999999999941"/>
    <m/>
    <m/>
    <m/>
    <m/>
    <n v="-3.0995000000000008"/>
    <n v="0.18624999999999972"/>
    <n v="30"/>
    <n v="0.39503355591869926"/>
    <n v="0"/>
    <n v="0"/>
    <n v="0"/>
    <n v="0"/>
    <n v="0"/>
    <n v="0"/>
    <n v="0"/>
    <n v="0.15464285438970027"/>
    <n v="0"/>
    <n v="0"/>
    <n v="0.24529003376067493"/>
    <n v="0"/>
    <n v="0"/>
    <n v="0"/>
    <n v="3.3277472756319981E-2"/>
    <n v="0"/>
    <n v="-3.9923891282149793E-3"/>
    <m/>
    <n v="0"/>
    <n v="0"/>
    <n v="0"/>
    <n v="0"/>
    <n v="-1.2536008102012608E-3"/>
    <n v="-2.224848361706E-3"/>
    <n v="0"/>
    <n v="-3.070596668787275E-2"/>
    <m/>
    <m/>
    <m/>
    <n v="14.432482284123376"/>
    <n v="0"/>
    <n v="0"/>
    <n v="-3.099499999999999"/>
    <n v="0.18624999999999936"/>
    <n v="0"/>
    <n v="0"/>
    <n v="-3.3082643112652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8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6.433"/>
    <n v="16.433"/>
    <n v="16.433"/>
    <n v="16.433"/>
    <m/>
    <n v="597.01"/>
    <n v="243.39"/>
    <m/>
    <n v="13810.2932"/>
    <n v="13810.2932"/>
    <n v="12510.114239999999"/>
    <n v="0"/>
    <n v="408.91018518559218"/>
    <n v="0"/>
    <n v="0"/>
    <n v="0"/>
    <n v="1925.7679151657449"/>
    <n v="6738.1630774279465"/>
    <n v="3999.5825938190724"/>
    <n v="0"/>
    <n v="0"/>
    <n v="0"/>
    <n v="0"/>
    <n v="0"/>
    <n v="166.94433953401182"/>
    <m/>
    <n v="28.213348047443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2.60663901380576"/>
    <n v="0"/>
    <n v="13.52"/>
    <n v="62.35"/>
    <n v="1017.5"/>
    <n v="31"/>
    <m/>
    <m/>
    <m/>
    <m/>
    <m/>
    <m/>
    <m/>
    <m/>
    <m/>
    <n v="4542.1892328328777"/>
    <m/>
    <m/>
    <m/>
    <m/>
    <m/>
    <m/>
    <m/>
    <m/>
    <m/>
    <m/>
    <m/>
    <m/>
    <n v="12507.830399999999"/>
    <n v="-1302.4928000000018"/>
    <m/>
    <m/>
    <m/>
    <m/>
    <n v="-1439.2021399999996"/>
    <n v="139.02318000000014"/>
    <n v="30"/>
    <n v="244.4215335373392"/>
    <n v="0"/>
    <n v="0"/>
    <n v="0"/>
    <n v="0"/>
    <n v="0"/>
    <n v="0"/>
    <n v="0"/>
    <n v="72.198229722866927"/>
    <n v="0"/>
    <n v="0"/>
    <n v="183.22050567224187"/>
    <n v="0"/>
    <n v="0"/>
    <n v="0"/>
    <n v="24.856759536572326"/>
    <n v="0"/>
    <n v="-2.9821332065437787"/>
    <m/>
    <n v="0"/>
    <n v="0"/>
    <n v="0"/>
    <n v="0"/>
    <n v="-0.93638282336618772"/>
    <n v="-1.6618605967232867"/>
    <n v="0"/>
    <n v="-30.273584767707781"/>
    <m/>
    <m/>
    <m/>
    <n v="6738.1630774279465"/>
    <n v="0"/>
    <n v="0"/>
    <n v="-1439.2021399999994"/>
    <n v="139.02317999999968"/>
    <n v="0"/>
    <n v="0"/>
    <n v="-1544.545421480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39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127.422"/>
    <n v="127.422"/>
    <n v="127.422"/>
    <n v="127.422"/>
    <m/>
    <n v="328.35"/>
    <n v="133.86000000000001"/>
    <m/>
    <n v="58895.72262"/>
    <n v="58895.72262"/>
    <n v="53351.591400000005"/>
    <n v="0"/>
    <n v="1743.8863560637274"/>
    <n v="0"/>
    <n v="0"/>
    <n v="0"/>
    <n v="8212.8558149721448"/>
    <n v="28736.36089628272"/>
    <n v="17057.089228886256"/>
    <n v="0"/>
    <n v="0"/>
    <n v="0"/>
    <n v="0"/>
    <n v="0"/>
    <n v="711.97041913567637"/>
    <m/>
    <n v="120.32195455459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14.0639406091113"/>
    <n v="0"/>
    <n v="0"/>
    <n v="0"/>
    <n v="0"/>
    <n v="5"/>
    <m/>
    <m/>
    <m/>
    <m/>
    <m/>
    <m/>
    <m/>
    <m/>
    <m/>
    <n v="19371.153169495366"/>
    <m/>
    <m/>
    <m/>
    <m/>
    <m/>
    <m/>
    <m/>
    <m/>
    <m/>
    <m/>
    <m/>
    <m/>
    <n v="53350.754000000001"/>
    <n v="-5544.9986200000058"/>
    <m/>
    <m/>
    <m/>
    <m/>
    <n v="-6137.9177400000017"/>
    <n v="593.78651999999954"/>
    <n v="30"/>
    <n v="1042.3887516288269"/>
    <n v="0"/>
    <n v="0"/>
    <n v="0"/>
    <n v="0"/>
    <n v="0"/>
    <n v="0"/>
    <n v="0"/>
    <n v="307.90504200454052"/>
    <n v="0"/>
    <n v="0"/>
    <n v="781.38366704633518"/>
    <n v="0"/>
    <n v="0"/>
    <n v="0"/>
    <n v="106.00705333888209"/>
    <n v="0"/>
    <n v="-12.717955187388725"/>
    <m/>
    <n v="0"/>
    <n v="0"/>
    <n v="0"/>
    <n v="0"/>
    <n v="-3.9934080609376679"/>
    <n v="-7.087365698632297"/>
    <n v="0"/>
    <n v="-129.10828181397099"/>
    <m/>
    <m/>
    <m/>
    <n v="28736.36089628272"/>
    <n v="0"/>
    <n v="0"/>
    <n v="-6137.9177400000044"/>
    <n v="593.78652000000147"/>
    <n v="0"/>
    <n v="0"/>
    <n v="-6587.0496368731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0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65.501999999999995"/>
    <n v="61.57188"/>
    <n v="65.501999999999995"/>
    <n v="61.57188"/>
    <m/>
    <n v="597.01"/>
    <n v="243.39"/>
    <m/>
    <n v="55047.880799999992"/>
    <n v="55047.880799999992"/>
    <n v="49865.362559999994"/>
    <n v="0"/>
    <n v="1629.917540925373"/>
    <n v="0"/>
    <n v="0"/>
    <n v="0"/>
    <n v="7676.1181755727257"/>
    <n v="26858.343449016327"/>
    <n v="15942.351308972"/>
    <n v="0"/>
    <n v="0"/>
    <n v="0"/>
    <n v="0"/>
    <n v="0"/>
    <n v="665.4407672462022"/>
    <m/>
    <n v="112.45851176313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2.8321103074486"/>
    <n v="0"/>
    <n v="0"/>
    <n v="0"/>
    <n v="0"/>
    <n v="9"/>
    <m/>
    <m/>
    <m/>
    <m/>
    <n v="2991.9217535999965"/>
    <m/>
    <m/>
    <m/>
    <m/>
    <n v="18105.183419279449"/>
    <m/>
    <m/>
    <m/>
    <m/>
    <m/>
    <m/>
    <m/>
    <m/>
    <m/>
    <m/>
    <m/>
    <m/>
    <n v="46872.009600000005"/>
    <n v="-4873.0283520000012"/>
    <m/>
    <m/>
    <m/>
    <m/>
    <n v="-5736.6651599999987"/>
    <n v="554.14692000000048"/>
    <n v="30"/>
    <n v="974.26515485686468"/>
    <n v="0"/>
    <n v="0"/>
    <n v="0"/>
    <n v="0"/>
    <n v="0"/>
    <n v="0"/>
    <n v="0"/>
    <n v="287.78241607176096"/>
    <n v="0"/>
    <n v="0"/>
    <n v="730.31762688146773"/>
    <n v="0"/>
    <n v="0"/>
    <n v="0"/>
    <n v="99.079137294746033"/>
    <n v="0"/>
    <n v="-11.886794212561881"/>
    <m/>
    <n v="0"/>
    <n v="0"/>
    <n v="0"/>
    <n v="0"/>
    <n v="-3.7324254668126287"/>
    <n v="-6.6241826085662296"/>
    <n v="0"/>
    <n v="-120.67062310317014"/>
    <m/>
    <m/>
    <m/>
    <n v="26858.343449016327"/>
    <n v="0"/>
    <n v="0"/>
    <n v="-5736.6651599999968"/>
    <n v="554.14691999999923"/>
    <n v="0"/>
    <n v="0"/>
    <n v="-6156.5638774302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1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2.347"/>
    <n v="2.347"/>
    <n v="2.347"/>
    <n v="2.347"/>
    <m/>
    <n v="597.01"/>
    <n v="243.39"/>
    <m/>
    <n v="1972.4187999999999"/>
    <n v="1972.4187999999999"/>
    <n v="1786.72416"/>
    <n v="0"/>
    <n v="58.401521610818769"/>
    <n v="0"/>
    <n v="0"/>
    <n v="0"/>
    <n v="275.04273698618653"/>
    <n v="962.36041761841363"/>
    <n v="571.22986354855254"/>
    <n v="0"/>
    <n v="0"/>
    <n v="0"/>
    <n v="0"/>
    <n v="0"/>
    <n v="23.843386167244308"/>
    <m/>
    <n v="4.0294972231089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496365956636168"/>
    <n v="0"/>
    <n v="0"/>
    <n v="0"/>
    <n v="687.02"/>
    <n v="3"/>
    <m/>
    <m/>
    <m/>
    <m/>
    <m/>
    <m/>
    <m/>
    <m/>
    <m/>
    <n v="648.72622950518871"/>
    <m/>
    <m/>
    <m/>
    <m/>
    <m/>
    <m/>
    <m/>
    <m/>
    <m/>
    <m/>
    <m/>
    <m/>
    <n v="1789.0079999999998"/>
    <n v="-183.44080000000008"/>
    <m/>
    <m/>
    <m/>
    <m/>
    <n v="-205.55025999999995"/>
    <n v="19.85562000000002"/>
    <n v="30"/>
    <n v="34.908862606470962"/>
    <n v="0"/>
    <n v="0"/>
    <n v="0"/>
    <n v="0"/>
    <n v="0"/>
    <n v="0"/>
    <n v="0"/>
    <n v="10.311522251540737"/>
    <n v="0"/>
    <n v="0"/>
    <n v="26.167986783469246"/>
    <n v="0"/>
    <n v="0"/>
    <n v="0"/>
    <n v="3.5501012981400351"/>
    <n v="0"/>
    <n v="-0.4259153310873387"/>
    <m/>
    <n v="0"/>
    <n v="0"/>
    <n v="0"/>
    <n v="0"/>
    <n v="-0.13373641370658973"/>
    <n v="-0.23735086840562047"/>
    <n v="0"/>
    <n v="-4.3237451134795943"/>
    <m/>
    <m/>
    <m/>
    <n v="962.36041761841363"/>
    <n v="0"/>
    <n v="0"/>
    <n v="-205.55025999999998"/>
    <n v="19.855620000000044"/>
    <n v="0"/>
    <n v="0"/>
    <n v="-220.59563708480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2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143"/>
    <s v="Regular"/>
    <s v="Convencional"/>
    <s v="B2"/>
    <s v="Rural"/>
    <s v="Agropecuária rural"/>
    <s v="IRRIG./AQUIC."/>
    <s v="Não se aplica"/>
    <s v="Não se aplica"/>
    <s v="CATIVO"/>
    <x v="4"/>
    <n v="0"/>
    <n v="0"/>
    <n v="4.3639999999999999"/>
    <n v="4.3639999999999999"/>
    <n v="4.3639999999999999"/>
    <n v="4.3639999999999999"/>
    <m/>
    <n v="597.01"/>
    <n v="243.39"/>
    <m/>
    <n v="3667.5055999999995"/>
    <n v="3667.5055999999995"/>
    <n v="3322.2259199999999"/>
    <n v="0"/>
    <n v="108.59149565812233"/>
    <n v="0"/>
    <n v="0"/>
    <n v="0"/>
    <n v="511.41308232114102"/>
    <n v="1789.408122065086"/>
    <n v="1062.1419363126899"/>
    <n v="0"/>
    <n v="0"/>
    <n v="0"/>
    <n v="0"/>
    <n v="0"/>
    <n v="44.334272362102325"/>
    <m/>
    <n v="7.4924268775660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09635323168311"/>
    <n v="0"/>
    <n v="0"/>
    <n v="0"/>
    <n v="0"/>
    <n v="0"/>
    <m/>
    <m/>
    <m/>
    <m/>
    <m/>
    <n v="398.69503999999995"/>
    <m/>
    <m/>
    <m/>
    <n v="1206.2382895443729"/>
    <m/>
    <m/>
    <m/>
    <m/>
    <m/>
    <m/>
    <m/>
    <m/>
    <m/>
    <m/>
    <m/>
    <m/>
    <n v="2920.8512000000001"/>
    <n v="-306.57500000000073"/>
    <m/>
    <m/>
    <m/>
    <m/>
    <n v="-382.19911999999994"/>
    <n v="36.919440000000037"/>
    <n v="30"/>
    <n v="64.909363619360192"/>
    <n v="0"/>
    <n v="0"/>
    <n v="0"/>
    <n v="0"/>
    <n v="0"/>
    <n v="0"/>
    <n v="0"/>
    <n v="19.173192631326742"/>
    <n v="0"/>
    <n v="0"/>
    <n v="48.656623060528318"/>
    <n v="0"/>
    <n v="0"/>
    <n v="0"/>
    <n v="6.6010405049352698"/>
    <n v="0"/>
    <n v="-0.79194482525144849"/>
    <m/>
    <n v="0"/>
    <n v="0"/>
    <n v="0"/>
    <n v="0"/>
    <n v="-0.24866881526014595"/>
    <n v="-0.44132901138565384"/>
    <n v="0"/>
    <n v="-8.0395499255325724"/>
    <m/>
    <m/>
    <m/>
    <n v="1789.408122065086"/>
    <n v="0"/>
    <n v="0"/>
    <n v="-382.19911999999977"/>
    <n v="36.919440000000122"/>
    <n v="0"/>
    <n v="0"/>
    <n v="-410.1744185079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4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1.4950000000000001"/>
    <n v="0.40365000000000001"/>
    <n v="1.4950000000000001"/>
    <n v="0.40365000000000001"/>
    <m/>
    <n v="597.01"/>
    <n v="243.39"/>
    <m/>
    <n v="1256.3980000000001"/>
    <n v="1256.3980000000001"/>
    <n v="1138.1136000000001"/>
    <n v="0"/>
    <n v="37.200798810470417"/>
    <n v="0"/>
    <n v="0"/>
    <n v="0"/>
    <n v="175.19765308664205"/>
    <n v="613.00759452046373"/>
    <n v="363.86393097788073"/>
    <n v="0"/>
    <n v="0"/>
    <n v="0"/>
    <n v="0"/>
    <n v="0"/>
    <n v="15.187840783992435"/>
    <m/>
    <n v="2.5667227731350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363897360533052"/>
    <n v="0"/>
    <n v="0"/>
    <n v="0"/>
    <n v="0"/>
    <n v="0"/>
    <m/>
    <m/>
    <m/>
    <m/>
    <m/>
    <m/>
    <n v="867.70039200000008"/>
    <m/>
    <m/>
    <n v="413.22782833841376"/>
    <m/>
    <m/>
    <m/>
    <m/>
    <m/>
    <m/>
    <m/>
    <m/>
    <m/>
    <m/>
    <m/>
    <m/>
    <n v="267.96800000000002"/>
    <n v="-30.581357499999967"/>
    <m/>
    <m/>
    <m/>
    <m/>
    <n v="-130.93209999999999"/>
    <n v="12.647700000000013"/>
    <n v="30"/>
    <n v="22.236365401224703"/>
    <n v="0"/>
    <n v="0"/>
    <n v="0"/>
    <n v="0"/>
    <n v="0"/>
    <n v="0"/>
    <n v="0"/>
    <n v="6.5682683281011407"/>
    <n v="0"/>
    <n v="0"/>
    <n v="16.668572748737404"/>
    <n v="0"/>
    <n v="0"/>
    <n v="0"/>
    <n v="2.261355535031683"/>
    <n v="0"/>
    <n v="-0.27130098848554951"/>
    <m/>
    <n v="0"/>
    <n v="0"/>
    <n v="0"/>
    <n v="0"/>
    <n v="-8.5187873238753653E-2"/>
    <n v="-0.15118855912501195"/>
    <n v="0"/>
    <n v="-2.7541537897963333"/>
    <m/>
    <m/>
    <m/>
    <n v="613.00759452046373"/>
    <n v="0"/>
    <n v="0"/>
    <n v="-130.93209999999999"/>
    <n v="12.647700000000043"/>
    <n v="0"/>
    <n v="0"/>
    <n v="-140.51575519462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5"/>
    <s v="Regular"/>
    <s v="Convencional"/>
    <s v="B1"/>
    <s v="Residencial"/>
    <s v="Residencial"/>
    <s v="Não se aplica"/>
    <s v="Não se aplica"/>
    <s v="Não se aplica"/>
    <s v="CATIVO"/>
    <x v="5"/>
    <n v="0"/>
    <n v="0"/>
    <n v="198.85400000000001"/>
    <n v="198.85400000000001"/>
    <n v="198.85400000000001"/>
    <n v="198.85400000000001"/>
    <m/>
    <n v="597.01"/>
    <n v="243.39"/>
    <m/>
    <n v="167116.90160000001"/>
    <n v="167116.90160000001"/>
    <n v="151383.57312000002"/>
    <n v="0"/>
    <n v="4948.1790278644039"/>
    <n v="0"/>
    <n v="0"/>
    <n v="0"/>
    <n v="23303.514452769978"/>
    <n v="81537.800803192178"/>
    <n v="48398.527177709359"/>
    <n v="0"/>
    <n v="0"/>
    <n v="0"/>
    <n v="0"/>
    <n v="0"/>
    <n v="2020.1758469966767"/>
    <m/>
    <n v="341.40674938393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6.0257162083208"/>
    <n v="0"/>
    <n v="48.11"/>
    <n v="222.89"/>
    <n v="1581.61"/>
    <n v="2001"/>
    <m/>
    <m/>
    <m/>
    <m/>
    <m/>
    <m/>
    <m/>
    <m/>
    <m/>
    <n v="54964.55289391768"/>
    <m/>
    <m/>
    <m/>
    <m/>
    <m/>
    <m/>
    <m/>
    <m/>
    <m/>
    <m/>
    <m/>
    <m/>
    <n v="151380.52799999999"/>
    <n v="-15736.40360000002"/>
    <m/>
    <m/>
    <m/>
    <m/>
    <n v="-17415.633319999997"/>
    <n v="1682.3048400000016"/>
    <n v="31"/>
    <n v="2957.7192010000726"/>
    <n v="0"/>
    <n v="0"/>
    <n v="0"/>
    <n v="0"/>
    <n v="0"/>
    <n v="0"/>
    <n v="0"/>
    <n v="873.66316395734248"/>
    <n v="0"/>
    <n v="0"/>
    <n v="2217.1320169748651"/>
    <n v="0"/>
    <n v="0"/>
    <n v="0"/>
    <n v="300.78902579477653"/>
    <n v="0"/>
    <n v="-36.086479441006304"/>
    <m/>
    <n v="0"/>
    <n v="0"/>
    <n v="0"/>
    <n v="0"/>
    <n v="-11.331069795999383"/>
    <n v="-20.109999823575322"/>
    <n v="0"/>
    <n v="-366.33745666632774"/>
    <m/>
    <m/>
    <m/>
    <n v="81537.800803192178"/>
    <n v="0"/>
    <n v="0"/>
    <n v="-17415.633320000008"/>
    <n v="1682.3048399999971"/>
    <n v="0"/>
    <n v="0"/>
    <n v="-18690.381259847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6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2.4660000000000002"/>
    <n v="2.4660000000000002"/>
    <n v="2.4660000000000002"/>
    <n v="2.4660000000000002"/>
    <m/>
    <n v="597.01"/>
    <n v="243.39"/>
    <m/>
    <n v="2072.4264000000003"/>
    <n v="2072.4264000000003"/>
    <n v="1877.31648"/>
    <n v="0"/>
    <n v="61.362655429177288"/>
    <n v="0"/>
    <n v="0"/>
    <n v="0"/>
    <n v="288.98823579375204"/>
    <n v="1011.155002065193"/>
    <n v="600.19294567990221"/>
    <n v="0"/>
    <n v="0"/>
    <n v="0"/>
    <n v="0"/>
    <n v="0"/>
    <n v="25.052317975468458"/>
    <m/>
    <n v="4.2338049221076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42566614787593"/>
    <n v="0"/>
    <n v="0"/>
    <n v="0"/>
    <n v="0"/>
    <n v="11"/>
    <m/>
    <m/>
    <m/>
    <m/>
    <m/>
    <m/>
    <m/>
    <m/>
    <m/>
    <n v="681.61861182777818"/>
    <m/>
    <m/>
    <m/>
    <m/>
    <m/>
    <m/>
    <m/>
    <m/>
    <m/>
    <m/>
    <m/>
    <m/>
    <n v="1880.3616000000002"/>
    <n v="-192.09479999999985"/>
    <m/>
    <m/>
    <m/>
    <m/>
    <n v="-215.97227999999998"/>
    <n v="20.86236000000002"/>
    <n v="31"/>
    <n v="36.678847544762675"/>
    <n v="0"/>
    <n v="0"/>
    <n v="0"/>
    <n v="0"/>
    <n v="0"/>
    <n v="0"/>
    <n v="0"/>
    <n v="10.83434762347656"/>
    <n v="0"/>
    <n v="0"/>
    <n v="27.494782875174906"/>
    <n v="0"/>
    <n v="0"/>
    <n v="0"/>
    <n v="3.7301021735037665"/>
    <n v="0"/>
    <n v="-0.44751052682632064"/>
    <m/>
    <n v="0"/>
    <n v="0"/>
    <n v="0"/>
    <n v="0"/>
    <n v="-0.14051725445268559"/>
    <n v="-0.24938527545302946"/>
    <n v="0"/>
    <n v="-4.5429720706607064"/>
    <m/>
    <m/>
    <m/>
    <n v="1011.155002065193"/>
    <n v="0"/>
    <n v="0"/>
    <n v="-215.97227999999996"/>
    <n v="20.862359999999967"/>
    <n v="0"/>
    <n v="0"/>
    <n v="-231.78050321735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7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61.98"/>
    <n v="61.98"/>
    <n v="61.98"/>
    <n v="61.98"/>
    <m/>
    <n v="561.96"/>
    <n v="243.39"/>
    <m/>
    <n v="49915.593000000001"/>
    <n v="49915.593000000001"/>
    <n v="45023.511599999998"/>
    <n v="0"/>
    <n v="0"/>
    <n v="0"/>
    <n v="0"/>
    <n v="0"/>
    <n v="7263.3782864950317"/>
    <n v="25414.187764801565"/>
    <n v="15085.141432781969"/>
    <n v="0"/>
    <n v="0"/>
    <n v="0"/>
    <n v="0"/>
    <n v="0"/>
    <n v="0"/>
    <m/>
    <n v="106.411690621343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6.5380323784873"/>
    <n v="0"/>
    <n v="0"/>
    <n v="0"/>
    <n v="0"/>
    <n v="150"/>
    <m/>
    <m/>
    <m/>
    <m/>
    <m/>
    <m/>
    <m/>
    <n v="29265.096599999997"/>
    <m/>
    <n v="17131.679465160458"/>
    <m/>
    <m/>
    <m/>
    <m/>
    <m/>
    <m/>
    <m/>
    <m/>
    <m/>
    <m/>
    <m/>
    <m/>
    <n v="15758.414999999999"/>
    <n v="-1712.5373999999993"/>
    <m/>
    <m/>
    <m/>
    <m/>
    <n v="-5416.432200000002"/>
    <n v="524.3508000000005"/>
    <n v="31"/>
    <n v="933.59270584498881"/>
    <n v="0"/>
    <n v="0"/>
    <n v="0"/>
    <n v="0"/>
    <n v="0"/>
    <n v="0"/>
    <n v="0"/>
    <n v="272.30854245866885"/>
    <n v="0"/>
    <n v="0"/>
    <n v="691.04892238578213"/>
    <n v="0"/>
    <n v="0"/>
    <n v="0"/>
    <n v="93.751716428939062"/>
    <n v="0"/>
    <n v="0"/>
    <m/>
    <n v="0"/>
    <n v="0"/>
    <n v="0"/>
    <n v="0"/>
    <n v="0"/>
    <n v="-6.2680046117513228"/>
    <n v="0"/>
    <n v="-117.24847081664934"/>
    <m/>
    <m/>
    <m/>
    <n v="25414.187764801565"/>
    <n v="0"/>
    <n v="0"/>
    <n v="-5416.4322000000029"/>
    <n v="524.35080000000016"/>
    <n v="0"/>
    <n v="0"/>
    <n v="-5825.5294360955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8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92.147999999999996"/>
    <n v="92.147999999999996"/>
    <n v="92.147999999999996"/>
    <n v="92.147999999999996"/>
    <m/>
    <n v="561.96"/>
    <n v="243.39"/>
    <m/>
    <n v="74211.391799999998"/>
    <n v="74211.391799999998"/>
    <n v="66938.15015999999"/>
    <n v="0"/>
    <n v="0"/>
    <n v="0"/>
    <n v="0"/>
    <n v="0"/>
    <n v="10798.738017811296"/>
    <n v="37784.229979847281"/>
    <n v="22427.647833946321"/>
    <n v="0"/>
    <n v="0"/>
    <n v="0"/>
    <n v="0"/>
    <n v="0"/>
    <n v="0"/>
    <m/>
    <n v="158.20626762464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2.6651598517724"/>
    <n v="0"/>
    <n v="0"/>
    <n v="0"/>
    <n v="0"/>
    <n v="1289"/>
    <m/>
    <m/>
    <m/>
    <m/>
    <m/>
    <m/>
    <m/>
    <n v="26775.444359999994"/>
    <m/>
    <n v="25470.312993798092"/>
    <m/>
    <m/>
    <m/>
    <m/>
    <m/>
    <m/>
    <m/>
    <m/>
    <m/>
    <m/>
    <m/>
    <m/>
    <n v="40163.577499999999"/>
    <n v="-4363.2875799999965"/>
    <m/>
    <m/>
    <m/>
    <m/>
    <n v="-8052.8137200000037"/>
    <n v="779.57208000000071"/>
    <n v="31"/>
    <n v="1388.007432368584"/>
    <n v="0"/>
    <n v="0"/>
    <n v="0"/>
    <n v="0"/>
    <n v="0"/>
    <n v="0"/>
    <n v="0"/>
    <n v="404.85136448017874"/>
    <n v="0"/>
    <n v="0"/>
    <n v="1027.4084559536132"/>
    <n v="0"/>
    <n v="0"/>
    <n v="0"/>
    <n v="139.38420725224023"/>
    <n v="0"/>
    <n v="0"/>
    <m/>
    <n v="0"/>
    <n v="0"/>
    <n v="0"/>
    <n v="0"/>
    <n v="0"/>
    <n v="-9.3188784924759602"/>
    <n v="0"/>
    <n v="-174.31771682498555"/>
    <m/>
    <m/>
    <m/>
    <n v="37784.229979847281"/>
    <n v="0"/>
    <n v="0"/>
    <n v="-8052.8137200000056"/>
    <n v="779.57208000000173"/>
    <n v="0"/>
    <n v="0"/>
    <n v="-8661.0339864041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49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6.504999999999999"/>
    <n v="26.504999999999999"/>
    <n v="26.504999999999999"/>
    <n v="26.504999999999999"/>
    <m/>
    <n v="561.96"/>
    <n v="243.39"/>
    <m/>
    <n v="21345.801749999999"/>
    <n v="21345.801749999999"/>
    <n v="19253.7621"/>
    <n v="0"/>
    <n v="0"/>
    <n v="0"/>
    <n v="0"/>
    <n v="0"/>
    <n v="3106.0961839875899"/>
    <n v="10868.071098839391"/>
    <n v="6450.9789234573427"/>
    <n v="0"/>
    <n v="0"/>
    <n v="0"/>
    <n v="0"/>
    <n v="0"/>
    <n v="0"/>
    <m/>
    <n v="45.505676991266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5.17732410764449"/>
    <n v="0"/>
    <n v="0"/>
    <n v="0"/>
    <n v="0"/>
    <n v="569"/>
    <m/>
    <m/>
    <m/>
    <m/>
    <m/>
    <m/>
    <m/>
    <n v="1925.3231999999996"/>
    <m/>
    <n v="7326.1562475649871"/>
    <m/>
    <m/>
    <m/>
    <m/>
    <m/>
    <m/>
    <m/>
    <m/>
    <m/>
    <m/>
    <m/>
    <m/>
    <n v="17331.7078"/>
    <n v="-1879.6762999999992"/>
    <m/>
    <m/>
    <m/>
    <m/>
    <n v="-2316.2719500000012"/>
    <n v="224.23230000000021"/>
    <n v="31"/>
    <n v="399.23966873864993"/>
    <n v="0"/>
    <n v="0"/>
    <n v="0"/>
    <n v="0"/>
    <n v="0"/>
    <n v="0"/>
    <n v="0"/>
    <n v="116.44946624503064"/>
    <n v="0"/>
    <n v="0"/>
    <n v="295.51874294667869"/>
    <n v="0"/>
    <n v="0"/>
    <n v="0"/>
    <n v="40.091791609374354"/>
    <n v="0"/>
    <n v="0"/>
    <m/>
    <n v="0"/>
    <n v="0"/>
    <n v="0"/>
    <n v="0"/>
    <n v="0"/>
    <n v="-2.6804366285006296"/>
    <n v="0"/>
    <n v="-50.139895433934996"/>
    <m/>
    <m/>
    <m/>
    <n v="10868.071098839391"/>
    <n v="0"/>
    <n v="0"/>
    <n v="-2316.2719500000003"/>
    <n v="224.23230000000058"/>
    <n v="0"/>
    <n v="0"/>
    <n v="-2491.217452463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0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6.5549999999999997"/>
    <n v="6.5549999999999997"/>
    <n v="6.5549999999999997"/>
    <n v="6.5549999999999997"/>
    <m/>
    <n v="561.96"/>
    <n v="243.39"/>
    <m/>
    <n v="5279.0692500000005"/>
    <n v="5279.0692500000005"/>
    <n v="4761.6831000000002"/>
    <n v="0"/>
    <n v="0"/>
    <n v="0"/>
    <n v="0"/>
    <n v="0"/>
    <n v="768.17432507219962"/>
    <n v="2687.8025298204948"/>
    <n v="1595.403389672246"/>
    <n v="0"/>
    <n v="0"/>
    <n v="0"/>
    <n v="0"/>
    <n v="0"/>
    <n v="0"/>
    <m/>
    <n v="11.254092159130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.44170381156798"/>
    <n v="0"/>
    <n v="45.77"/>
    <n v="211.95"/>
    <n v="676.7"/>
    <n v="58"/>
    <m/>
    <m/>
    <m/>
    <m/>
    <m/>
    <m/>
    <m/>
    <m/>
    <m/>
    <n v="1811.845093483814"/>
    <m/>
    <m/>
    <m/>
    <m/>
    <m/>
    <m/>
    <m/>
    <m/>
    <m/>
    <m/>
    <m/>
    <m/>
    <n v="4765.3151999999991"/>
    <n v="-513.78405000000203"/>
    <m/>
    <m/>
    <m/>
    <m/>
    <n v="-572.84145000000024"/>
    <n v="55.455300000000051"/>
    <n v="31"/>
    <n v="98.73669226869788"/>
    <n v="0"/>
    <n v="0"/>
    <n v="0"/>
    <n v="0"/>
    <n v="0"/>
    <n v="0"/>
    <n v="0"/>
    <n v="28.799330361674265"/>
    <n v="0"/>
    <n v="0"/>
    <n v="73.08528051369467"/>
    <n v="0"/>
    <n v="0"/>
    <n v="0"/>
    <n v="9.9151742689850835"/>
    <n v="0"/>
    <n v="0"/>
    <m/>
    <n v="0"/>
    <n v="0"/>
    <n v="0"/>
    <n v="0"/>
    <n v="0"/>
    <n v="-0.66290368231735997"/>
    <n v="0"/>
    <n v="-12.400189193338761"/>
    <m/>
    <m/>
    <m/>
    <n v="2687.8025298204948"/>
    <n v="0"/>
    <n v="0"/>
    <n v="-572.84145000000035"/>
    <n v="55.455300000000079"/>
    <n v="0"/>
    <n v="0"/>
    <n v="-616.107542007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1"/>
    <s v="Regular"/>
    <s v="Convencional"/>
    <s v="B3"/>
    <s v="Industrial"/>
    <s v="Não se aplica"/>
    <s v="Não se aplica"/>
    <s v="Não se aplica"/>
    <s v="Não se aplica"/>
    <s v="CATIVO"/>
    <x v="5"/>
    <n v="0"/>
    <n v="0"/>
    <n v="0.437"/>
    <n v="0.437"/>
    <n v="0.437"/>
    <n v="0.437"/>
    <m/>
    <n v="597.01"/>
    <n v="243.39"/>
    <m/>
    <n v="367.25479999999999"/>
    <n v="367.25479999999999"/>
    <n v="332.67935999999997"/>
    <n v="0"/>
    <n v="10.874079652291352"/>
    <n v="0"/>
    <n v="0"/>
    <n v="0"/>
    <n v="51.211621671479975"/>
    <n v="179.18683532136632"/>
    <n v="106.36022597814974"/>
    <n v="0"/>
    <n v="0"/>
    <n v="0"/>
    <n v="0"/>
    <n v="0"/>
    <n v="4.4395226907054806"/>
    <m/>
    <n v="0.75027281060869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4294469207712"/>
    <n v="0"/>
    <n v="0"/>
    <n v="0"/>
    <n v="0"/>
    <n v="3"/>
    <m/>
    <m/>
    <m/>
    <m/>
    <m/>
    <m/>
    <m/>
    <m/>
    <m/>
    <n v="120.78967289892094"/>
    <m/>
    <m/>
    <m/>
    <m/>
    <m/>
    <m/>
    <m/>
    <m/>
    <m/>
    <m/>
    <m/>
    <m/>
    <n v="334.96320000000003"/>
    <n v="-32.321599999999933"/>
    <m/>
    <m/>
    <m/>
    <m/>
    <n v="-38.272459999999995"/>
    <n v="3.6970200000000033"/>
    <n v="31"/>
    <n v="6.4998606557425944"/>
    <n v="0"/>
    <n v="0"/>
    <n v="0"/>
    <n v="0"/>
    <n v="0"/>
    <n v="0"/>
    <n v="0"/>
    <n v="1.9199553574449553"/>
    <n v="0"/>
    <n v="0"/>
    <n v="4.8723520342463189"/>
    <n v="0"/>
    <n v="0"/>
    <n v="0"/>
    <n v="0.66101161793233842"/>
    <n v="0"/>
    <n v="-7.9303365865005304E-2"/>
    <m/>
    <n v="0"/>
    <n v="0"/>
    <n v="0"/>
    <n v="0"/>
    <n v="-2.4901070639019807E-2"/>
    <n v="-4.4193578821157264E-2"/>
    <n v="0"/>
    <n v="-0.80506033855585124"/>
    <m/>
    <m/>
    <m/>
    <n v="179.18683532136632"/>
    <n v="0"/>
    <n v="0"/>
    <n v="-38.272459999999995"/>
    <n v="3.6970199999999949"/>
    <n v="0"/>
    <n v="0"/>
    <n v="-41.0738361338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2"/>
    <s v="Regular"/>
    <s v="Verde"/>
    <s v="A4"/>
    <s v="Industrial"/>
    <s v="Não se aplica"/>
    <s v="Não se aplica"/>
    <s v="Não se aplica"/>
    <s v="Ponta"/>
    <s v="CATIVO"/>
    <x v="5"/>
    <n v="0"/>
    <n v="0"/>
    <n v="0.14199999999999999"/>
    <n v="0.14199999999999999"/>
    <n v="0.14199999999999999"/>
    <n v="0.14199999999999999"/>
    <m/>
    <n v="2773.91"/>
    <n v="243.39"/>
    <m/>
    <n v="428.45659999999992"/>
    <n v="428.45659999999992"/>
    <n v="368.82653999999997"/>
    <n v="0"/>
    <n v="3.0741048060505096"/>
    <n v="0"/>
    <n v="0"/>
    <n v="0"/>
    <n v="102.31206773580948"/>
    <n v="284.81588227121233"/>
    <n v="34.560988761778631"/>
    <n v="0"/>
    <n v="0"/>
    <n v="0"/>
    <n v="0"/>
    <n v="0"/>
    <n v="1.4425908972086459"/>
    <m/>
    <n v="9.85023500239305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525963082212836"/>
    <n v="0"/>
    <n v="0"/>
    <n v="0"/>
    <n v="0"/>
    <n v="0"/>
    <m/>
    <m/>
    <m/>
    <m/>
    <m/>
    <m/>
    <m/>
    <m/>
    <m/>
    <n v="36.713585069999915"/>
    <m/>
    <m/>
    <m/>
    <m/>
    <m/>
    <m/>
    <m/>
    <m/>
    <m/>
    <m/>
    <m/>
    <m/>
    <n v="363.63180000000006"/>
    <n v="-64.854799999999841"/>
    <m/>
    <m/>
    <m/>
    <m/>
    <n v="-60.831379999999974"/>
    <n v="1.2013200000000011"/>
    <n v="31"/>
    <n v="5.6560780049245807"/>
    <n v="0"/>
    <n v="0"/>
    <n v="0"/>
    <n v="0"/>
    <n v="0"/>
    <n v="0"/>
    <n v="0"/>
    <n v="3.8357426726445141"/>
    <n v="0"/>
    <n v="0"/>
    <n v="1.5832356724553236"/>
    <n v="0"/>
    <n v="0"/>
    <n v="0"/>
    <n v="9.8610236155654452E-2"/>
    <n v="0"/>
    <n v="-2.2419079677259202E-2"/>
    <m/>
    <n v="0"/>
    <n v="0"/>
    <n v="0"/>
    <n v="0"/>
    <n v="-8.0914234113065309E-3"/>
    <n v="-5.8021179873493506E-3"/>
    <n v="0"/>
    <n v="0.17480204474501371"/>
    <m/>
    <m/>
    <m/>
    <n v="284.81588227121233"/>
    <n v="0"/>
    <n v="0"/>
    <n v="-60.831379999999967"/>
    <n v="1.2013200000000026"/>
    <n v="0"/>
    <n v="0"/>
    <n v="-65.286497502644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3"/>
    <s v="Regular"/>
    <s v="Verde"/>
    <s v="A4"/>
    <s v="Industrial"/>
    <s v="Não se aplica"/>
    <s v="Não se aplica"/>
    <s v="Não se aplica"/>
    <s v="Fora ponta"/>
    <s v="CATIVO"/>
    <x v="5"/>
    <n v="0"/>
    <n v="0"/>
    <n v="27.844000000000001"/>
    <n v="27.844000000000001"/>
    <n v="27.844000000000001"/>
    <n v="27.844000000000001"/>
    <m/>
    <n v="47.66"/>
    <n v="243.39"/>
    <m/>
    <n v="8103.9961999999996"/>
    <n v="8103.9961999999996"/>
    <n v="8353.7568800000008"/>
    <n v="0"/>
    <n v="602.78432549063666"/>
    <n v="0"/>
    <n v="0"/>
    <n v="0"/>
    <n v="0"/>
    <n v="0"/>
    <n v="6776.8744442462275"/>
    <n v="0"/>
    <n v="0"/>
    <n v="0"/>
    <n v="0"/>
    <n v="0"/>
    <n v="282.86972494279956"/>
    <m/>
    <n v="19.314784746945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2.09078595854527"/>
    <n v="0"/>
    <n v="0"/>
    <n v="0"/>
    <n v="0"/>
    <n v="0"/>
    <m/>
    <m/>
    <m/>
    <m/>
    <m/>
    <m/>
    <m/>
    <m/>
    <m/>
    <n v="7198.9652302047725"/>
    <m/>
    <m/>
    <m/>
    <m/>
    <m/>
    <m/>
    <m/>
    <m/>
    <m/>
    <m/>
    <m/>
    <m/>
    <n v="8352.5568000000003"/>
    <n v="248.53060000000005"/>
    <m/>
    <m/>
    <m/>
    <m/>
    <n v="14.200440000000143"/>
    <n v="235.56024000000022"/>
    <n v="31"/>
    <n v="249.77408961931997"/>
    <n v="0"/>
    <n v="0"/>
    <n v="0"/>
    <n v="0"/>
    <n v="0"/>
    <n v="0"/>
    <n v="0"/>
    <n v="0"/>
    <n v="0"/>
    <n v="0"/>
    <n v="310.44798636511314"/>
    <n v="0"/>
    <n v="0"/>
    <n v="0"/>
    <n v="19.335939545901681"/>
    <n v="0"/>
    <n v="-4.3960341868563546"/>
    <m/>
    <n v="0"/>
    <n v="0"/>
    <n v="0"/>
    <n v="0"/>
    <n v="-1.5866027708761408"/>
    <n v="-1.1377054453503916"/>
    <n v="0"/>
    <n v="-72.889493888612037"/>
    <m/>
    <m/>
    <m/>
    <n v="0"/>
    <n v="0"/>
    <n v="0"/>
    <n v="14.200440000000071"/>
    <n v="235.56024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4"/>
    <s v="Regular"/>
    <s v="Verde"/>
    <s v="A4"/>
    <s v="Industrial"/>
    <s v="Não se aplica"/>
    <s v="Não se aplica"/>
    <s v="Não se aplica"/>
    <s v="Não se aplica"/>
    <s v="CATIVO"/>
    <x v="5"/>
    <n v="123"/>
    <n v="123"/>
    <n v="0"/>
    <n v="0"/>
    <n v="0"/>
    <n v="0"/>
    <n v="50.27"/>
    <m/>
    <m/>
    <n v="6183.21"/>
    <m/>
    <n v="6183.21"/>
    <n v="5559.6"/>
    <n v="0"/>
    <n v="0"/>
    <n v="0"/>
    <n v="0"/>
    <n v="0"/>
    <n v="2947.0717806800048"/>
    <n v="3235.57806261942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559.6"/>
    <n v="-623.64000000000033"/>
    <m/>
    <m/>
    <m/>
    <m/>
    <n v="-623.61"/>
    <n v="0"/>
    <n v="31"/>
    <n v="119.21588398465065"/>
    <n v="0"/>
    <n v="0"/>
    <n v="0"/>
    <n v="0"/>
    <m/>
    <m/>
    <m/>
    <n v="110.48754305006423"/>
    <n v="0"/>
    <n v="0"/>
    <m/>
    <m/>
    <n v="0"/>
    <n v="0"/>
    <n v="0"/>
    <n v="0"/>
    <n v="0"/>
    <m/>
    <n v="0"/>
    <n v="0"/>
    <m/>
    <n v="0"/>
    <n v="0"/>
    <n v="0"/>
    <n v="0"/>
    <n v="8.7283409345864964"/>
    <m/>
    <m/>
    <n v="3235.5780626194287"/>
    <m/>
    <n v="0"/>
    <n v="0"/>
    <n v="-623.60999999999967"/>
    <m/>
    <n v="0"/>
    <m/>
    <n v="-741.67057475981392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155"/>
    <s v="Regular"/>
    <s v="Convencional"/>
    <s v="B3"/>
    <s v="Comercial"/>
    <s v="Não se aplica"/>
    <s v="Não se aplica"/>
    <s v="Não se aplica"/>
    <s v="Não se aplica"/>
    <s v="CATIVO"/>
    <x v="5"/>
    <n v="0"/>
    <n v="0"/>
    <n v="61.203000000000003"/>
    <n v="61.203000000000003"/>
    <n v="61.203000000000003"/>
    <n v="61.203000000000003"/>
    <m/>
    <n v="597.01"/>
    <n v="243.39"/>
    <m/>
    <n v="51435.001199999999"/>
    <n v="51435.001199999999"/>
    <n v="46592.619839999999"/>
    <n v="0"/>
    <n v="1522.9434713024889"/>
    <n v="0"/>
    <n v="0"/>
    <n v="0"/>
    <n v="7172.3223825162222"/>
    <n v="25095.587831060831"/>
    <n v="14896.029543571394"/>
    <n v="0"/>
    <n v="0"/>
    <n v="0"/>
    <n v="0"/>
    <n v="0"/>
    <n v="621.7668357877518"/>
    <m/>
    <n v="105.077681527881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0.8820134827454"/>
    <n v="0"/>
    <n v="79.989999999999995"/>
    <n v="369.34"/>
    <n v="4528.12"/>
    <n v="209"/>
    <m/>
    <m/>
    <m/>
    <m/>
    <m/>
    <m/>
    <m/>
    <m/>
    <m/>
    <n v="16916.91155705414"/>
    <m/>
    <m/>
    <m/>
    <m/>
    <m/>
    <m/>
    <m/>
    <m/>
    <m/>
    <m/>
    <m/>
    <m/>
    <n v="46590.336000000003"/>
    <n v="-4844.6952000000019"/>
    <m/>
    <m/>
    <m/>
    <m/>
    <n v="-5360.1587399999989"/>
    <n v="517.77738000000056"/>
    <n v="31"/>
    <n v="910.32258973321223"/>
    <n v="0"/>
    <n v="0"/>
    <n v="0"/>
    <n v="0"/>
    <n v="0"/>
    <n v="0"/>
    <n v="0"/>
    <n v="268.89480032426491"/>
    <n v="0"/>
    <n v="0"/>
    <n v="682.38572437523362"/>
    <n v="0"/>
    <n v="0"/>
    <n v="0"/>
    <n v="92.576416595681849"/>
    <n v="0"/>
    <n v="-11.106645082462137"/>
    <m/>
    <n v="0"/>
    <n v="0"/>
    <n v="0"/>
    <n v="0"/>
    <n v="-3.4874604721280775"/>
    <n v="-6.1894270127947095"/>
    <n v="0"/>
    <n v="-112.75081899458527"/>
    <m/>
    <m/>
    <m/>
    <n v="25095.587831060831"/>
    <n v="0"/>
    <n v="0"/>
    <n v="-5360.1587400000026"/>
    <n v="517.77738000000136"/>
    <n v="0"/>
    <n v="0"/>
    <n v="-5752.4988395830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6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3.6379999999999999"/>
    <n v="3.6379999999999999"/>
    <n v="3.6379999999999999"/>
    <n v="3.6379999999999999"/>
    <m/>
    <n v="597.01"/>
    <n v="243.39"/>
    <m/>
    <n v="3057.3751999999999"/>
    <n v="3057.3751999999999"/>
    <n v="2769.5366399999998"/>
    <n v="0"/>
    <n v="90.526091018388868"/>
    <n v="0"/>
    <n v="0"/>
    <n v="0"/>
    <n v="426.33382068843054"/>
    <n v="1491.7201530872555"/>
    <n v="885.44279658697656"/>
    <n v="0"/>
    <n v="0"/>
    <n v="0"/>
    <n v="0"/>
    <n v="0"/>
    <n v="36.958772422852491"/>
    <m/>
    <n v="6.2459782265318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.12432013218678"/>
    <n v="0"/>
    <n v="0"/>
    <n v="0"/>
    <n v="0"/>
    <n v="6"/>
    <m/>
    <m/>
    <m/>
    <m/>
    <m/>
    <m/>
    <m/>
    <m/>
    <m/>
    <n v="1005.5671167191633"/>
    <m/>
    <m/>
    <m/>
    <m/>
    <m/>
    <m/>
    <m/>
    <m/>
    <m/>
    <m/>
    <m/>
    <m/>
    <n v="2771.0592000000001"/>
    <n v="-286.34600000000046"/>
    <m/>
    <m/>
    <m/>
    <m/>
    <n v="-318.61603999999994"/>
    <n v="30.777480000000029"/>
    <n v="31"/>
    <n v="54.110968113481476"/>
    <n v="0"/>
    <n v="0"/>
    <n v="0"/>
    <n v="0"/>
    <n v="0"/>
    <n v="0"/>
    <n v="0"/>
    <n v="15.983518513466265"/>
    <n v="0"/>
    <n v="0"/>
    <n v="40.562051946425868"/>
    <n v="0"/>
    <n v="0"/>
    <n v="0"/>
    <n v="5.5028839039767661"/>
    <n v="0"/>
    <n v="-0.66019598402034774"/>
    <m/>
    <n v="0"/>
    <n v="0"/>
    <n v="0"/>
    <n v="0"/>
    <n v="-0.20729998852346654"/>
    <n v="-0.36790901544935917"/>
    <n v="0"/>
    <n v="-6.7020812623940191"/>
    <m/>
    <m/>
    <m/>
    <n v="1491.7201530872555"/>
    <n v="0"/>
    <n v="0"/>
    <n v="-318.61604000000011"/>
    <n v="30.777479999999969"/>
    <n v="0"/>
    <n v="0"/>
    <n v="-341.93733605220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7"/>
    <s v="Regular"/>
    <s v="Branca"/>
    <s v="B3"/>
    <s v="Comercial"/>
    <s v="Não se aplica"/>
    <s v="Não se aplica"/>
    <s v="Não se aplica"/>
    <s v="Ponta"/>
    <s v="CATIVO"/>
    <x v="5"/>
    <n v="0"/>
    <n v="0"/>
    <n v="1.2999999999999999E-2"/>
    <n v="1.2999999999999999E-2"/>
    <n v="1.2999999999999999E-2"/>
    <n v="1.2999999999999999E-2"/>
    <m/>
    <n v="1783.27"/>
    <n v="243.39"/>
    <m/>
    <n v="26.346579999999996"/>
    <n v="26.346579999999996"/>
    <n v="22.719059999999999"/>
    <n v="0"/>
    <n v="0.32348520704756878"/>
    <n v="0"/>
    <n v="0"/>
    <n v="0"/>
    <n v="4.9512406528512853"/>
    <n v="17.324134679945598"/>
    <n v="3.1640341824163536"/>
    <n v="0"/>
    <n v="0"/>
    <n v="0"/>
    <n v="0"/>
    <n v="0"/>
    <n v="0.13206818073036899"/>
    <m/>
    <n v="2.23193284620435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2925128139593954"/>
    <n v="0"/>
    <n v="0"/>
    <n v="0"/>
    <n v="0"/>
    <n v="0"/>
    <m/>
    <m/>
    <m/>
    <m/>
    <m/>
    <m/>
    <m/>
    <m/>
    <m/>
    <n v="3.5932854638122933"/>
    <m/>
    <m/>
    <m/>
    <m/>
    <m/>
    <m/>
    <m/>
    <m/>
    <m/>
    <m/>
    <m/>
    <m/>
    <n v="17.476200000000002"/>
    <n v="-8.9003799999999984"/>
    <m/>
    <m/>
    <m/>
    <m/>
    <n v="-3.7374999999999998"/>
    <n v="0.10998000000000009"/>
    <n v="31"/>
    <n v="0.3436405430944518"/>
    <n v="0"/>
    <n v="0"/>
    <n v="0"/>
    <n v="0"/>
    <n v="0"/>
    <n v="0"/>
    <n v="0"/>
    <n v="0.18562507312151322"/>
    <n v="0"/>
    <n v="0"/>
    <n v="0.14494411085858605"/>
    <n v="0"/>
    <n v="0"/>
    <n v="0"/>
    <n v="1.966396117418856E-2"/>
    <n v="0"/>
    <n v="-2.3591390303090987E-3"/>
    <m/>
    <n v="0"/>
    <n v="0"/>
    <n v="0"/>
    <n v="0"/>
    <n v="-7.4076411511961315E-4"/>
    <n v="-1.3146831228261872E-3"/>
    <n v="0"/>
    <n v="-2.1780157915822843E-3"/>
    <m/>
    <m/>
    <m/>
    <n v="17.324134679945598"/>
    <n v="0"/>
    <n v="0"/>
    <n v="-3.7374999999999972"/>
    <n v="0.10998000000000019"/>
    <n v="0"/>
    <n v="0"/>
    <n v="-3.9710990359756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8"/>
    <s v="Regular"/>
    <s v="Branca"/>
    <s v="B3"/>
    <s v="Comercial"/>
    <s v="Não se aplica"/>
    <s v="Não se aplica"/>
    <s v="Não se aplica"/>
    <s v="Fora ponta"/>
    <s v="CATIVO"/>
    <x v="5"/>
    <n v="0"/>
    <n v="0"/>
    <n v="0.501"/>
    <n v="0.501"/>
    <n v="0.501"/>
    <n v="0.501"/>
    <m/>
    <n v="412.48"/>
    <n v="243.39"/>
    <m/>
    <n v="328.59087"/>
    <n v="328.59087"/>
    <n v="304.53285"/>
    <n v="0"/>
    <n v="12.466622210063997"/>
    <n v="0"/>
    <n v="0"/>
    <n v="0"/>
    <n v="38.163242030465653"/>
    <n v="133.52915597980171"/>
    <n v="121.93700964543025"/>
    <n v="0"/>
    <n v="0"/>
    <n v="0"/>
    <n v="0"/>
    <n v="0"/>
    <n v="5.0897045035319124"/>
    <m/>
    <n v="0.86015258149875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542683998412748"/>
    <n v="0"/>
    <n v="0"/>
    <n v="0"/>
    <n v="0"/>
    <n v="0"/>
    <m/>
    <m/>
    <m/>
    <m/>
    <m/>
    <m/>
    <m/>
    <m/>
    <m/>
    <n v="138.47969364384301"/>
    <m/>
    <m/>
    <m/>
    <m/>
    <m/>
    <m/>
    <m/>
    <m/>
    <m/>
    <m/>
    <m/>
    <m/>
    <n v="303.92500000000001"/>
    <n v="-24.695869999999957"/>
    <m/>
    <m/>
    <m/>
    <m/>
    <n v="-28.29648000000001"/>
    <n v="4.2384600000000043"/>
    <n v="31"/>
    <n v="6.5508959933844437"/>
    <n v="0"/>
    <n v="0"/>
    <n v="0"/>
    <n v="0"/>
    <n v="0"/>
    <n v="0"/>
    <n v="0"/>
    <n v="1.4307635376963503"/>
    <n v="0"/>
    <n v="0"/>
    <n v="5.5859230415501315"/>
    <n v="0"/>
    <n v="0"/>
    <n v="0"/>
    <n v="0.75781881140526508"/>
    <n v="0"/>
    <n v="-9.0917588783449688E-2"/>
    <m/>
    <n v="0"/>
    <n v="0"/>
    <n v="0"/>
    <n v="0"/>
    <n v="-2.8547909359608603E-2"/>
    <n v="-5.0665864964301588E-2"/>
    <n v="0"/>
    <n v="-1.0534780341599383"/>
    <m/>
    <m/>
    <m/>
    <n v="133.52915597980171"/>
    <n v="0"/>
    <n v="0"/>
    <n v="-28.296480000000003"/>
    <n v="4.2384600000000034"/>
    <n v="0"/>
    <n v="0"/>
    <n v="-30.608022413947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59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160"/>
    <s v="Regular"/>
    <s v="Branca"/>
    <s v="B3"/>
    <s v="Comercial"/>
    <s v="Não se aplica"/>
    <s v="Não se aplica"/>
    <s v="Não se aplica"/>
    <s v="Intermediário"/>
    <s v="CATIVO"/>
    <x v="5"/>
    <n v="0"/>
    <n v="0"/>
    <n v="1.0999999999999999E-2"/>
    <n v="1.0999999999999999E-2"/>
    <n v="1.0999999999999999E-2"/>
    <n v="1.0999999999999999E-2"/>
    <m/>
    <n v="1097.8699999999999"/>
    <n v="243.39"/>
    <m/>
    <n v="14.753859999999998"/>
    <n v="14.753859999999998"/>
    <n v="12.955030000000001"/>
    <n v="0"/>
    <n v="0.2737182521171736"/>
    <n v="0"/>
    <n v="0"/>
    <n v="0"/>
    <n v="2.5137261281960188"/>
    <n v="8.7953284704979762"/>
    <n v="2.6772596928138377"/>
    <n v="0"/>
    <n v="0"/>
    <n v="0"/>
    <n v="0"/>
    <n v="0"/>
    <n v="0.11174999907954299"/>
    <m/>
    <n v="1.888558562172919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6321262271964116"/>
    <n v="0"/>
    <n v="0"/>
    <n v="0"/>
    <n v="0"/>
    <n v="0"/>
    <m/>
    <m/>
    <m/>
    <m/>
    <m/>
    <m/>
    <m/>
    <m/>
    <m/>
    <n v="3.0404723155334787"/>
    <m/>
    <m/>
    <m/>
    <m/>
    <m/>
    <m/>
    <m/>
    <m/>
    <m/>
    <m/>
    <m/>
    <m/>
    <n v="11.7773"/>
    <n v="-3.0065599999999968"/>
    <m/>
    <m/>
    <m/>
    <m/>
    <n v="-1.8918899999999987"/>
    <n v="9.3060000000000087E-2"/>
    <n v="31"/>
    <n v="0.21730289944307657"/>
    <n v="0"/>
    <n v="0"/>
    <n v="0"/>
    <n v="0"/>
    <n v="0"/>
    <n v="0"/>
    <n v="0"/>
    <n v="9.4241146627595196E-2"/>
    <n v="0"/>
    <n v="0"/>
    <n v="0.12264501688034191"/>
    <n v="0"/>
    <n v="0"/>
    <n v="0"/>
    <n v="1.6638736378159547E-2"/>
    <n v="0"/>
    <n v="-1.9961945641077117E-3"/>
    <m/>
    <n v="0"/>
    <n v="0"/>
    <n v="0"/>
    <n v="0"/>
    <n v="-6.2680040510119939E-4"/>
    <n v="-1.1124241808529306E-3"/>
    <n v="0"/>
    <n v="-1.2486581292958848E-2"/>
    <m/>
    <m/>
    <m/>
    <n v="8.7953284704979762"/>
    <n v="0"/>
    <n v="0"/>
    <n v="-1.8918899999999983"/>
    <n v="9.3059999999999921E-2"/>
    <n v="0"/>
    <n v="0"/>
    <n v="-2.0160961026650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61"/>
    <s v="Regular"/>
    <s v="Convencional"/>
    <s v="B2"/>
    <s v="Rural"/>
    <s v="Não se aplica"/>
    <s v="Não se aplica"/>
    <s v="Não se aplica"/>
    <s v="Não se aplica"/>
    <s v="CATIVO"/>
    <x v="5"/>
    <n v="0"/>
    <n v="0"/>
    <n v="193.477"/>
    <n v="193.477"/>
    <n v="193.477"/>
    <n v="193.477"/>
    <m/>
    <n v="597.01"/>
    <n v="243.39"/>
    <m/>
    <n v="162598.07080000002"/>
    <n v="162598.07080000002"/>
    <n v="147290.17056"/>
    <n v="0"/>
    <n v="4814.3805695340361"/>
    <n v="0"/>
    <n v="0"/>
    <n v="0"/>
    <n v="22673.388846986116"/>
    <n v="79333.023655542318"/>
    <n v="47089.833962412995"/>
    <n v="0"/>
    <n v="0"/>
    <n v="0"/>
    <n v="0"/>
    <n v="0"/>
    <n v="1965.550415628431"/>
    <m/>
    <n v="332.17513175775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88.4807823570927"/>
    <n v="0"/>
    <n v="114.23"/>
    <n v="527.88"/>
    <n v="0"/>
    <n v="1761"/>
    <m/>
    <m/>
    <m/>
    <m/>
    <m/>
    <n v="17676.058719999997"/>
    <m/>
    <m/>
    <m/>
    <n v="53478.31474477009"/>
    <m/>
    <m/>
    <m/>
    <m/>
    <m/>
    <m/>
    <m/>
    <m/>
    <m/>
    <m/>
    <m/>
    <m/>
    <n v="129616.1216"/>
    <n v="-13469.823749999996"/>
    <m/>
    <m/>
    <m/>
    <m/>
    <n v="-16944.715659999998"/>
    <n v="1636.8154200000015"/>
    <n v="31"/>
    <n v="2877.7426546707284"/>
    <n v="0"/>
    <n v="0"/>
    <n v="0"/>
    <n v="0"/>
    <n v="0"/>
    <n v="0"/>
    <n v="0"/>
    <n v="850.03936542878"/>
    <n v="0"/>
    <n v="0"/>
    <n v="2157.1809028143543"/>
    <n v="0"/>
    <n v="0"/>
    <n v="0"/>
    <n v="292.6557089306516"/>
    <n v="0"/>
    <n v="-35.110703243623902"/>
    <m/>
    <n v="0"/>
    <n v="0"/>
    <n v="0"/>
    <n v="0"/>
    <n v="-11.024678361615088"/>
    <n v="-19.566226658080211"/>
    <n v="0"/>
    <n v="-356.43171423974923"/>
    <m/>
    <m/>
    <m/>
    <n v="79333.023655542318"/>
    <n v="0"/>
    <n v="0"/>
    <n v="-16944.715660000002"/>
    <n v="1636.815419999999"/>
    <n v="0"/>
    <n v="0"/>
    <n v="-18184.994493505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62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.6419999999999999"/>
    <n v="1.6419999999999999"/>
    <n v="1.6419999999999999"/>
    <n v="1.6419999999999999"/>
    <m/>
    <n v="597.01"/>
    <n v="243.39"/>
    <m/>
    <n v="1379.9367999999999"/>
    <n v="1379.9367999999999"/>
    <n v="1250.0217600000001"/>
    <n v="0"/>
    <n v="40.858669997854456"/>
    <n v="0"/>
    <n v="0"/>
    <n v="0"/>
    <n v="192.42444573128174"/>
    <n v="673.28325766060289"/>
    <n v="399.64185596366559"/>
    <n v="0"/>
    <n v="0"/>
    <n v="0"/>
    <n v="0"/>
    <n v="0"/>
    <n v="16.681227135328143"/>
    <m/>
    <n v="2.81910287189812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217738773240981"/>
    <n v="0"/>
    <n v="0"/>
    <n v="0"/>
    <n v="0"/>
    <n v="7"/>
    <m/>
    <m/>
    <m/>
    <m/>
    <m/>
    <n v="150.01311999999996"/>
    <m/>
    <m/>
    <m/>
    <n v="453.85959473690656"/>
    <m/>
    <m/>
    <m/>
    <m/>
    <m/>
    <m/>
    <m/>
    <m/>
    <m/>
    <m/>
    <m/>
    <m/>
    <n v="1098.6687999999999"/>
    <n v="-115.70229999999992"/>
    <m/>
    <m/>
    <m/>
    <m/>
    <n v="-143.80635999999996"/>
    <n v="13.891320000000013"/>
    <n v="31"/>
    <n v="24.422817383819734"/>
    <n v="0"/>
    <n v="0"/>
    <n v="0"/>
    <n v="0"/>
    <n v="0"/>
    <n v="0"/>
    <n v="0"/>
    <n v="7.2141114346100892"/>
    <n v="0"/>
    <n v="0"/>
    <n v="18.307556156138332"/>
    <n v="0"/>
    <n v="0"/>
    <n v="0"/>
    <n v="2.483709557539818"/>
    <n v="0"/>
    <n v="-0.29797740675134321"/>
    <m/>
    <n v="0"/>
    <n v="0"/>
    <n v="0"/>
    <n v="0"/>
    <n v="-9.3564205925105171E-2"/>
    <n v="-0.16605459136004619"/>
    <n v="0"/>
    <n v="-3.024963560431825"/>
    <m/>
    <m/>
    <m/>
    <n v="673.28325766060289"/>
    <n v="0"/>
    <n v="0"/>
    <n v="-143.80635999999993"/>
    <n v="13.891320000000007"/>
    <n v="0"/>
    <n v="0"/>
    <n v="-154.33235453483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63"/>
    <s v="Regular"/>
    <s v="Branca"/>
    <s v="B2"/>
    <s v="Rural"/>
    <s v="Não se aplica"/>
    <s v="Não se aplica"/>
    <s v="Não se aplica"/>
    <s v="Ponta"/>
    <s v="CATIVO"/>
    <x v="5"/>
    <n v="0"/>
    <n v="0"/>
    <n v="1.4E-2"/>
    <n v="1.4E-2"/>
    <n v="1.4E-2"/>
    <n v="1.4E-2"/>
    <m/>
    <n v="1298.56"/>
    <n v="214.18"/>
    <m/>
    <n v="21.178359999999998"/>
    <n v="21.178359999999998"/>
    <n v="18.379340000000003"/>
    <n v="0"/>
    <n v="0.30656444237123459"/>
    <n v="0"/>
    <n v="0"/>
    <n v="0"/>
    <n v="3.8498348811486061"/>
    <n v="13.470321419110206"/>
    <n v="2.9985308559514978"/>
    <n v="0"/>
    <n v="0"/>
    <n v="0"/>
    <n v="0"/>
    <n v="0"/>
    <n v="0.12515999896908803"/>
    <m/>
    <n v="2.115185589633676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0679813744599819"/>
    <n v="0"/>
    <n v="0"/>
    <n v="0"/>
    <n v="0"/>
    <n v="0"/>
    <m/>
    <m/>
    <m/>
    <m/>
    <m/>
    <m/>
    <m/>
    <m/>
    <m/>
    <n v="3.4053289933974962"/>
    <m/>
    <m/>
    <m/>
    <m/>
    <m/>
    <m/>
    <m/>
    <m/>
    <m/>
    <m/>
    <m/>
    <m/>
    <n v="13.128100000000002"/>
    <n v="-8.0802600000000009"/>
    <m/>
    <m/>
    <m/>
    <m/>
    <n v="-2.9033199999999986"/>
    <n v="0.10429999999999984"/>
    <n v="31"/>
    <n v="0.2887321475726905"/>
    <n v="0"/>
    <n v="0"/>
    <n v="0"/>
    <n v="0"/>
    <n v="0"/>
    <n v="0"/>
    <n v="0"/>
    <n v="0.14433268980926606"/>
    <n v="0"/>
    <n v="0"/>
    <n v="0.13736241890597833"/>
    <n v="0"/>
    <n v="0"/>
    <n v="0"/>
    <n v="1.8635384743539207E-2"/>
    <n v="0"/>
    <n v="-2.2357379118003728E-3"/>
    <m/>
    <n v="0"/>
    <n v="0"/>
    <n v="0"/>
    <n v="0"/>
    <n v="-7.0201645371270605E-4"/>
    <n v="-1.2459150825553621E-3"/>
    <n v="0"/>
    <n v="-7.414676438024518E-3"/>
    <m/>
    <m/>
    <m/>
    <n v="13.470321419110206"/>
    <n v="0"/>
    <n v="0"/>
    <n v="-2.9033199999999972"/>
    <n v="0.10429999999999984"/>
    <n v="0"/>
    <n v="0"/>
    <n v="-3.0877144163299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64"/>
    <s v="Regular"/>
    <s v="Branca"/>
    <s v="B2"/>
    <s v="Rural"/>
    <s v="Não se aplica"/>
    <s v="Não se aplica"/>
    <s v="Não se aplica"/>
    <s v="Fora ponta"/>
    <s v="CATIVO"/>
    <x v="5"/>
    <n v="0"/>
    <n v="0"/>
    <n v="2.4430000000000001"/>
    <n v="2.4430000000000001"/>
    <n v="2.4430000000000001"/>
    <n v="2.4430000000000001"/>
    <m/>
    <n v="308.83999999999997"/>
    <n v="214.18"/>
    <m/>
    <n v="1277.73786"/>
    <n v="1277.73786"/>
    <n v="1196.8012699999999"/>
    <n v="0"/>
    <n v="53.495495193780442"/>
    <n v="0"/>
    <n v="0"/>
    <n v="0"/>
    <n v="134.36306594754473"/>
    <n v="470.11445941509737"/>
    <n v="523.24363436353633"/>
    <n v="0"/>
    <n v="0"/>
    <n v="0"/>
    <n v="0"/>
    <n v="0"/>
    <n v="21.840419820105861"/>
    <m/>
    <n v="3.6909988539107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986274984326684"/>
    <n v="0"/>
    <n v="0"/>
    <n v="0"/>
    <n v="0"/>
    <n v="0"/>
    <m/>
    <m/>
    <m/>
    <m/>
    <m/>
    <m/>
    <m/>
    <m/>
    <m/>
    <n v="594.22990934786299"/>
    <m/>
    <m/>
    <m/>
    <m/>
    <m/>
    <m/>
    <m/>
    <m/>
    <m/>
    <m/>
    <m/>
    <m/>
    <n v="1195.3316"/>
    <n v="-82.436259999999947"/>
    <m/>
    <m/>
    <m/>
    <m/>
    <n v="-99.136939999999967"/>
    <n v="18.200349999999972"/>
    <n v="31"/>
    <n v="26.821609796264283"/>
    <n v="0"/>
    <n v="0"/>
    <n v="0"/>
    <n v="0"/>
    <n v="0"/>
    <n v="0"/>
    <n v="0"/>
    <n v="5.0373544107540624"/>
    <n v="0"/>
    <n v="0"/>
    <n v="23.96974209909331"/>
    <n v="0"/>
    <n v="0"/>
    <n v="0"/>
    <n v="3.2518746377475907"/>
    <n v="0"/>
    <n v="-0.39013626560917203"/>
    <m/>
    <n v="0"/>
    <n v="0"/>
    <n v="0"/>
    <n v="0"/>
    <n v="-0.1225018711728687"/>
    <n v="-0.21741218190591027"/>
    <n v="0"/>
    <n v="-4.7073110326428038"/>
    <m/>
    <m/>
    <m/>
    <n v="470.11445941509737"/>
    <n v="0"/>
    <n v="0"/>
    <n v="-99.136939999999868"/>
    <n v="18.200349999999958"/>
    <n v="0"/>
    <n v="0"/>
    <n v="-107.76128857636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65"/>
    <s v="Regular"/>
    <s v="Branca"/>
    <s v="B2"/>
    <s v="Rural"/>
    <s v="Não se aplica"/>
    <s v="Não se aplica"/>
    <s v="Não se aplica"/>
    <s v="Não se aplica"/>
    <s v="CATIVO"/>
    <x v="5"/>
    <n v="0"/>
    <n v="0"/>
    <n v="8.8999999999999996E-2"/>
    <n v="8.8999999999999996E-2"/>
    <n v="8.8999999999999996E-2"/>
    <n v="8.8999999999999996E-2"/>
    <m/>
    <n v="597.01"/>
    <n v="243.39"/>
    <m/>
    <n v="74.795599999999993"/>
    <n v="74.795599999999993"/>
    <n v="67.753919999999994"/>
    <n v="0"/>
    <n v="2.2146294944025864"/>
    <n v="0"/>
    <n v="0"/>
    <n v="0"/>
    <n v="10.429826839271666"/>
    <n v="36.493428703893827"/>
    <n v="21.66146478731196"/>
    <n v="0"/>
    <n v="0"/>
    <n v="0"/>
    <n v="0"/>
    <n v="0"/>
    <n v="0.90415908346175689"/>
    <m/>
    <n v="0.152801556393990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387203110952784"/>
    <n v="0"/>
    <n v="2.13"/>
    <n v="9.81"/>
    <n v="0"/>
    <n v="6"/>
    <m/>
    <m/>
    <m/>
    <m/>
    <m/>
    <n v="8.1310399999999987"/>
    <m/>
    <m/>
    <m/>
    <n v="24.600185098407238"/>
    <m/>
    <m/>
    <m/>
    <m/>
    <m/>
    <m/>
    <m/>
    <m/>
    <m/>
    <m/>
    <m/>
    <m/>
    <n v="60.2928"/>
    <n v="-5.5571499999999929"/>
    <m/>
    <m/>
    <m/>
    <m/>
    <n v="-7.7946199999999983"/>
    <n v="0.75294000000000072"/>
    <n v="31"/>
    <n v="1.3237702479658751"/>
    <n v="0"/>
    <n v="0"/>
    <n v="0"/>
    <n v="0"/>
    <n v="0"/>
    <n v="0"/>
    <n v="0"/>
    <n v="0.3910206563217411"/>
    <n v="0"/>
    <n v="0"/>
    <n v="0.9923096820318591"/>
    <n v="0"/>
    <n v="0"/>
    <n v="0"/>
    <n v="0.13462250342329085"/>
    <n v="0"/>
    <n v="-1.6151028745962304E-2"/>
    <m/>
    <n v="0"/>
    <n v="0"/>
    <n v="0"/>
    <n v="0"/>
    <n v="-5.0713850958187257E-3"/>
    <n v="-9.000522917810061E-3"/>
    <n v="0"/>
    <n v="-0.16395965705142046"/>
    <m/>
    <m/>
    <m/>
    <n v="36.493428703893827"/>
    <n v="0"/>
    <n v="0"/>
    <n v="-7.7946199999999948"/>
    <n v="0.75293999999999883"/>
    <n v="0"/>
    <n v="0"/>
    <n v="-8.365151981486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66"/>
    <s v="Regular"/>
    <s v="Branca"/>
    <s v="B2"/>
    <s v="Rural"/>
    <s v="Não se aplica"/>
    <s v="Não se aplica"/>
    <s v="Não se aplica"/>
    <s v="Intermediário"/>
    <s v="CATIVO"/>
    <x v="5"/>
    <n v="0"/>
    <n v="0"/>
    <n v="3.9E-2"/>
    <n v="3.9E-2"/>
    <n v="3.9E-2"/>
    <n v="3.9E-2"/>
    <m/>
    <n v="803.7"/>
    <n v="214.18"/>
    <m/>
    <n v="39.697320000000005"/>
    <n v="39.697320000000005"/>
    <n v="35.152650000000001"/>
    <n v="0"/>
    <n v="0.85400094660558212"/>
    <n v="0"/>
    <n v="0"/>
    <n v="0"/>
    <n v="6.4347525910391878"/>
    <n v="22.514672363232467"/>
    <n v="8.3530502415791723"/>
    <n v="0"/>
    <n v="0"/>
    <n v="0"/>
    <n v="0"/>
    <n v="0"/>
    <n v="0.3486599971281738"/>
    <m/>
    <n v="5.892302713979526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32233828852807"/>
    <n v="0"/>
    <n v="0"/>
    <n v="0"/>
    <n v="0"/>
    <n v="0"/>
    <m/>
    <m/>
    <m/>
    <m/>
    <m/>
    <m/>
    <m/>
    <m/>
    <m/>
    <n v="9.4862736244644523"/>
    <m/>
    <m/>
    <m/>
    <m/>
    <m/>
    <m/>
    <m/>
    <m/>
    <m/>
    <m/>
    <m/>
    <m/>
    <n v="36.054000000000002"/>
    <n v="-3.6733199999999968"/>
    <m/>
    <m/>
    <m/>
    <m/>
    <n v="-4.8352200000000005"/>
    <n v="0.29054999999999953"/>
    <n v="31"/>
    <n v="0.6162523472331749"/>
    <n v="0"/>
    <n v="0"/>
    <n v="0"/>
    <n v="0"/>
    <n v="0"/>
    <n v="0"/>
    <n v="0"/>
    <n v="0.24124285284793245"/>
    <n v="0"/>
    <n v="0"/>
    <n v="0.3826524526666546"/>
    <n v="0"/>
    <n v="0"/>
    <n v="0"/>
    <n v="5.19128574998593E-2"/>
    <n v="0"/>
    <n v="-6.2281270400154076E-3"/>
    <m/>
    <n v="0"/>
    <n v="0"/>
    <n v="0"/>
    <n v="0"/>
    <n v="-1.9556172639139668E-3"/>
    <n v="-3.4707634442613586E-3"/>
    <n v="0"/>
    <n v="-4.7901308033081492E-2"/>
    <m/>
    <m/>
    <m/>
    <n v="22.514672363232467"/>
    <n v="0"/>
    <n v="0"/>
    <n v="-4.8352199999999996"/>
    <n v="0.29054999999999964"/>
    <n v="0"/>
    <n v="0"/>
    <n v="-5.1608923255738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67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3.925000000000001"/>
    <n v="13.925000000000001"/>
    <n v="13.925000000000001"/>
    <n v="13.925000000000001"/>
    <m/>
    <n v="597.01"/>
    <n v="243.39"/>
    <m/>
    <n v="11702.57"/>
    <n v="11702.57"/>
    <n v="10600.824000000001"/>
    <n v="0"/>
    <n v="346.50242370287663"/>
    <n v="0"/>
    <n v="0"/>
    <n v="0"/>
    <n v="1631.8577386163815"/>
    <n v="5709.7864573227143"/>
    <n v="3389.1673838575175"/>
    <n v="0"/>
    <n v="0"/>
    <n v="0"/>
    <n v="0"/>
    <n v="0"/>
    <n v="141.46533974387603"/>
    <m/>
    <n v="23.907434525689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9.79416103372762"/>
    <n v="0"/>
    <n v="19.170000000000002"/>
    <n v="88.51"/>
    <n v="1154.83"/>
    <n v="30"/>
    <m/>
    <m/>
    <m/>
    <m/>
    <m/>
    <m/>
    <m/>
    <m/>
    <m/>
    <n v="3848.961544891245"/>
    <m/>
    <m/>
    <m/>
    <m/>
    <m/>
    <m/>
    <m/>
    <m/>
    <m/>
    <m/>
    <m/>
    <m/>
    <n v="10604.6304"/>
    <n v="-1097.9696000000004"/>
    <m/>
    <m/>
    <m/>
    <m/>
    <n v="-1219.5514999999998"/>
    <n v="117.80550000000012"/>
    <n v="31"/>
    <n v="207.1179854261236"/>
    <n v="0"/>
    <n v="0"/>
    <n v="0"/>
    <n v="0"/>
    <n v="0"/>
    <n v="0"/>
    <n v="0"/>
    <n v="61.179355497530878"/>
    <n v="0"/>
    <n v="0"/>
    <n v="155.257441823524"/>
    <n v="0"/>
    <n v="0"/>
    <n v="0"/>
    <n v="21.063127642351958"/>
    <n v="0"/>
    <n v="-2.5270008459272617"/>
    <m/>
    <n v="0"/>
    <n v="0"/>
    <n v="0"/>
    <n v="0"/>
    <n v="-0.79347233100310177"/>
    <n v="-1.40822788348882"/>
    <n v="0"/>
    <n v="-25.653238476865504"/>
    <m/>
    <m/>
    <m/>
    <n v="5709.7864573227143"/>
    <n v="0"/>
    <n v="0"/>
    <n v="-1219.5515000000005"/>
    <n v="117.80549999999994"/>
    <n v="0"/>
    <n v="0"/>
    <n v="-1308.81731845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68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129.19499999999999"/>
    <n v="129.19499999999999"/>
    <n v="129.19499999999999"/>
    <n v="129.19499999999999"/>
    <m/>
    <n v="328.35"/>
    <n v="133.86000000000001"/>
    <m/>
    <n v="59715.220950000003"/>
    <n v="59715.220950000003"/>
    <n v="54093.946500000005"/>
    <n v="0"/>
    <n v="1768.1514791139148"/>
    <n v="0"/>
    <n v="0"/>
    <n v="0"/>
    <n v="8327.1327323015339"/>
    <n v="29136.209963705212"/>
    <n v="17294.428300654199"/>
    <n v="0"/>
    <n v="0"/>
    <n v="0"/>
    <n v="0"/>
    <n v="0"/>
    <n v="721.87705655407785"/>
    <m/>
    <n v="121.99616171996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6.2627396132075"/>
    <n v="0"/>
    <n v="0"/>
    <n v="0"/>
    <n v="0"/>
    <n v="5"/>
    <m/>
    <m/>
    <m/>
    <m/>
    <m/>
    <m/>
    <m/>
    <m/>
    <m/>
    <n v="19640.691040267408"/>
    <m/>
    <m/>
    <m/>
    <m/>
    <m/>
    <m/>
    <m/>
    <m/>
    <m/>
    <m/>
    <m/>
    <m/>
    <n v="54096.04"/>
    <n v="-5619.2109500000079"/>
    <m/>
    <m/>
    <m/>
    <m/>
    <n v="-6223.323150000002"/>
    <n v="602.04869999999949"/>
    <n v="31"/>
    <n v="1056.8929601378586"/>
    <n v="0"/>
    <n v="0"/>
    <n v="0"/>
    <n v="0"/>
    <n v="0"/>
    <n v="0"/>
    <n v="0"/>
    <n v="312.18935428557597"/>
    <n v="0"/>
    <n v="0"/>
    <n v="792.25614779278112"/>
    <n v="0"/>
    <n v="0"/>
    <n v="0"/>
    <n v="107.48207731880575"/>
    <n v="0"/>
    <n v="-12.894917835496699"/>
    <m/>
    <n v="0"/>
    <n v="0"/>
    <n v="0"/>
    <n v="0"/>
    <n v="-4.0489739168498318"/>
    <n v="-7.1859821022649015"/>
    <n v="0"/>
    <n v="-130.90474540468665"/>
    <m/>
    <m/>
    <m/>
    <n v="29136.209963705212"/>
    <n v="0"/>
    <n v="0"/>
    <n v="-6223.3231499999965"/>
    <n v="602.04869999999937"/>
    <n v="0"/>
    <n v="0"/>
    <n v="-6678.7044453533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69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57.7"/>
    <n v="54.238"/>
    <n v="57.7"/>
    <n v="54.238"/>
    <m/>
    <n v="597.01"/>
    <n v="243.39"/>
    <m/>
    <n v="48491.08"/>
    <n v="48491.08"/>
    <n v="43925.856"/>
    <n v="0"/>
    <n v="1435.7766497419016"/>
    <n v="0"/>
    <n v="0"/>
    <n v="0"/>
    <n v="6761.809085685114"/>
    <n v="23659.222878816559"/>
    <n v="14043.444025032586"/>
    <n v="0"/>
    <n v="0"/>
    <n v="0"/>
    <n v="0"/>
    <n v="0"/>
    <n v="586.17954062633009"/>
    <m/>
    <n v="99.063480943070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5.2153028112089"/>
    <n v="0"/>
    <n v="0"/>
    <n v="0"/>
    <n v="0"/>
    <n v="9"/>
    <m/>
    <m/>
    <m/>
    <m/>
    <n v="2635.5513600000027"/>
    <m/>
    <m/>
    <m/>
    <m/>
    <n v="15948.659327843794"/>
    <m/>
    <m/>
    <m/>
    <m/>
    <m/>
    <m/>
    <m/>
    <m/>
    <m/>
    <m/>
    <m/>
    <m/>
    <n v="41291.8272"/>
    <n v="-4289.817999999992"/>
    <m/>
    <m/>
    <m/>
    <m/>
    <n v="-5053.3659999999991"/>
    <n v="488.14200000000051"/>
    <n v="31"/>
    <n v="858.21958772619109"/>
    <n v="0"/>
    <n v="0"/>
    <n v="0"/>
    <n v="0"/>
    <n v="0"/>
    <n v="0"/>
    <n v="0"/>
    <n v="253.50440303106188"/>
    <n v="0"/>
    <n v="0"/>
    <n v="643.32886127234087"/>
    <n v="0"/>
    <n v="0"/>
    <n v="0"/>
    <n v="87.277735365436911"/>
    <n v="0"/>
    <n v="-10.470947849910317"/>
    <m/>
    <n v="0"/>
    <n v="0"/>
    <n v="0"/>
    <n v="0"/>
    <n v="-3.2878530340308316"/>
    <n v="-5.8351704759285496"/>
    <n v="0"/>
    <n v="-106.29744058277485"/>
    <m/>
    <m/>
    <m/>
    <n v="23659.222878816559"/>
    <n v="0"/>
    <n v="0"/>
    <n v="-5053.3659999999982"/>
    <n v="488.14200000000164"/>
    <n v="0"/>
    <n v="0"/>
    <n v="-5423.2502172105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0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.274"/>
    <n v="3.274"/>
    <n v="3.274"/>
    <n v="3.274"/>
    <m/>
    <n v="597.01"/>
    <n v="243.39"/>
    <m/>
    <n v="2751.4695999999999"/>
    <n v="2751.4695999999999"/>
    <n v="2492.4307200000003"/>
    <n v="0"/>
    <n v="81.468505221056944"/>
    <n v="0"/>
    <n v="0"/>
    <n v="0"/>
    <n v="383.67700080646557"/>
    <n v="1342.4661300735775"/>
    <n v="796.84983947931869"/>
    <n v="0"/>
    <n v="0"/>
    <n v="0"/>
    <n v="0"/>
    <n v="0"/>
    <n v="33.260863362402162"/>
    <m/>
    <n v="5.6210370295946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10528425310048"/>
    <n v="0"/>
    <n v="0"/>
    <n v="0"/>
    <n v="985.78"/>
    <n v="3"/>
    <m/>
    <m/>
    <m/>
    <m/>
    <m/>
    <m/>
    <m/>
    <m/>
    <m/>
    <n v="904.95512373241922"/>
    <m/>
    <m/>
    <m/>
    <m/>
    <m/>
    <m/>
    <m/>
    <m/>
    <m/>
    <m/>
    <m/>
    <m/>
    <n v="2489.3856000000001"/>
    <n v="-262.11400000000003"/>
    <m/>
    <m/>
    <m/>
    <m/>
    <n v="-286.73691999999994"/>
    <n v="27.698040000000027"/>
    <n v="31"/>
    <n v="48.696896537531529"/>
    <n v="0"/>
    <n v="0"/>
    <n v="0"/>
    <n v="0"/>
    <n v="0"/>
    <n v="0"/>
    <n v="0"/>
    <n v="14.384287964015471"/>
    <n v="0"/>
    <n v="0"/>
    <n v="36.503616842385441"/>
    <n v="0"/>
    <n v="0"/>
    <n v="0"/>
    <n v="4.9522929910994833"/>
    <n v="0"/>
    <n v="-0.59414009117168121"/>
    <m/>
    <n v="0"/>
    <n v="0"/>
    <n v="0"/>
    <n v="0"/>
    <n v="-0.18655859330011992"/>
    <n v="-0.33109788801022688"/>
    <n v="0"/>
    <n v="-6.0315046874870859"/>
    <m/>
    <m/>
    <m/>
    <n v="1342.4661300735775"/>
    <n v="0"/>
    <n v="0"/>
    <n v="-286.73692000000005"/>
    <n v="27.698040000000105"/>
    <n v="0"/>
    <n v="0"/>
    <n v="-307.72480435264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1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172"/>
    <s v="Regular"/>
    <s v="Convencional"/>
    <s v="B2"/>
    <s v="Rural"/>
    <s v="Agropecuária rural"/>
    <s v="IRRIG./AQUIC."/>
    <s v="Não se aplica"/>
    <s v="Não se aplica"/>
    <s v="CATIVO"/>
    <x v="5"/>
    <n v="0"/>
    <n v="0"/>
    <n v="10.007"/>
    <n v="10.007"/>
    <n v="10.007"/>
    <n v="10.007"/>
    <m/>
    <n v="597.01"/>
    <n v="243.39"/>
    <m/>
    <n v="8409.8827999999994"/>
    <n v="8409.8827999999994"/>
    <n v="7618.12896"/>
    <n v="0"/>
    <n v="249.00895899423239"/>
    <n v="0"/>
    <n v="0"/>
    <n v="0"/>
    <n v="1172.7109795572085"/>
    <n v="4103.25551730186"/>
    <n v="2435.5761587261886"/>
    <n v="0"/>
    <n v="0"/>
    <n v="0"/>
    <n v="0"/>
    <n v="0"/>
    <n v="101.66202188990788"/>
    <m/>
    <n v="17.18073230151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0.42442868685902"/>
    <n v="0"/>
    <n v="0"/>
    <n v="0"/>
    <n v="0"/>
    <n v="0"/>
    <m/>
    <m/>
    <m/>
    <m/>
    <m/>
    <n v="914.23951999999986"/>
    <m/>
    <m/>
    <m/>
    <n v="2766.0005874130475"/>
    <m/>
    <m/>
    <m/>
    <m/>
    <m/>
    <m/>
    <m/>
    <m/>
    <m/>
    <m/>
    <m/>
    <m/>
    <n v="6705.8991999999998"/>
    <n v="-694.80765000000065"/>
    <m/>
    <m/>
    <m/>
    <m/>
    <n v="-876.41305999999986"/>
    <n v="84.659220000000076"/>
    <n v="31"/>
    <n v="148.8423468696019"/>
    <n v="0"/>
    <n v="0"/>
    <n v="0"/>
    <n v="0"/>
    <n v="0"/>
    <n v="0"/>
    <n v="0"/>
    <n v="43.965659638333364"/>
    <n v="0"/>
    <n v="0"/>
    <n v="111.57351672014374"/>
    <n v="0"/>
    <n v="0"/>
    <n v="0"/>
    <n v="15.136712266931113"/>
    <n v="0"/>
    <n v="-1.8159926366386969"/>
    <m/>
    <n v="0"/>
    <n v="0"/>
    <n v="0"/>
    <n v="0"/>
    <n v="-0.57021742307705381"/>
    <n v="-1.0120026161632047"/>
    <n v="0"/>
    <n v="-18.435329079927691"/>
    <m/>
    <m/>
    <m/>
    <n v="4103.25551730186"/>
    <n v="0"/>
    <n v="0"/>
    <n v="-876.41305999999986"/>
    <n v="84.659220000000005"/>
    <n v="0"/>
    <n v="0"/>
    <n v="-940.56265032281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3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7.0389999999999997"/>
    <n v="1.9005300000000001"/>
    <n v="7.0389999999999997"/>
    <n v="1.9005300000000001"/>
    <m/>
    <n v="597.01"/>
    <n v="243.39"/>
    <m/>
    <n v="5915.5755999999992"/>
    <n v="5915.5755999999992"/>
    <n v="5358.6499199999998"/>
    <n v="0"/>
    <n v="175.15479787752591"/>
    <n v="0"/>
    <n v="0"/>
    <n v="0"/>
    <n v="824.89383282733991"/>
    <n v="2886.2611758057151"/>
    <n v="1713.202816156055"/>
    <n v="0"/>
    <n v="0"/>
    <n v="0"/>
    <n v="0"/>
    <n v="0"/>
    <n v="71.509840320082105"/>
    <m/>
    <n v="12.085057926486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42305921123219"/>
    <n v="0"/>
    <n v="0"/>
    <n v="0"/>
    <n v="0"/>
    <n v="0"/>
    <m/>
    <m/>
    <m/>
    <m/>
    <m/>
    <m/>
    <n v="4085.4468623999992"/>
    <m/>
    <m/>
    <n v="1945.6258753672871"/>
    <m/>
    <m/>
    <m/>
    <m/>
    <m/>
    <m/>
    <m/>
    <m/>
    <m/>
    <m/>
    <m/>
    <m/>
    <n v="1272.848"/>
    <n v="-132.7189615000002"/>
    <m/>
    <m/>
    <m/>
    <m/>
    <n v="-616.47561999999982"/>
    <n v="59.549940000000056"/>
    <n v="31"/>
    <n v="104.69684017339114"/>
    <n v="0"/>
    <n v="0"/>
    <n v="0"/>
    <n v="0"/>
    <n v="0"/>
    <n v="0"/>
    <n v="0"/>
    <n v="30.925779773581326"/>
    <n v="0"/>
    <n v="0"/>
    <n v="78.481661256429788"/>
    <n v="0"/>
    <n v="0"/>
    <n v="0"/>
    <n v="10.647278669624114"/>
    <n v="0"/>
    <n v="-1.2773830487958264"/>
    <m/>
    <n v="0"/>
    <n v="0"/>
    <n v="0"/>
    <n v="0"/>
    <n v="-0.40109527740976603"/>
    <n v="-0.71185034627488797"/>
    <n v="0"/>
    <n v="-12.96755085376347"/>
    <m/>
    <m/>
    <m/>
    <n v="2886.2611758057151"/>
    <n v="0"/>
    <n v="0"/>
    <n v="-616.47561999999925"/>
    <n v="59.549939999999879"/>
    <n v="0"/>
    <n v="0"/>
    <n v="-661.59893031101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4"/>
    <s v="Regular"/>
    <s v="Convencional"/>
    <s v="B1"/>
    <s v="Residencial"/>
    <s v="Residencial"/>
    <s v="Não se aplica"/>
    <s v="Não se aplica"/>
    <s v="Não se aplica"/>
    <s v="CATIVO"/>
    <x v="6"/>
    <n v="0"/>
    <n v="0"/>
    <n v="233.029"/>
    <n v="233.029"/>
    <n v="233.029"/>
    <n v="233.029"/>
    <m/>
    <n v="597.01"/>
    <n v="243.39"/>
    <m/>
    <n v="195837.5716"/>
    <n v="195837.5716"/>
    <n v="177400.31711999999"/>
    <n v="0"/>
    <n v="5798.5718702375316"/>
    <n v="0"/>
    <n v="0"/>
    <n v="0"/>
    <n v="27308.450769984687"/>
    <n v="95550.867386962636"/>
    <n v="56716.286268792348"/>
    <n v="0"/>
    <n v="0"/>
    <n v="0"/>
    <n v="0"/>
    <n v="0"/>
    <n v="2367.3627759551659"/>
    <m/>
    <n v="400.08083016781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94.4612963395693"/>
    <n v="0"/>
    <n v="51.98"/>
    <n v="240.47"/>
    <n v="1973.35"/>
    <n v="1994"/>
    <m/>
    <m/>
    <m/>
    <m/>
    <m/>
    <m/>
    <m/>
    <m/>
    <m/>
    <n v="64410.747565131918"/>
    <m/>
    <m/>
    <m/>
    <m/>
    <m/>
    <m/>
    <m/>
    <m/>
    <m/>
    <m/>
    <m/>
    <m/>
    <n v="177401.0784"/>
    <n v="-18436.523200000025"/>
    <m/>
    <m/>
    <m/>
    <m/>
    <n v="-20408.679819999998"/>
    <n v="1971.4253400000018"/>
    <n v="30"/>
    <n v="3466.032102395955"/>
    <n v="0"/>
    <n v="0"/>
    <n v="0"/>
    <n v="0"/>
    <n v="0"/>
    <n v="0"/>
    <n v="0"/>
    <n v="1023.8107024943674"/>
    <n v="0"/>
    <n v="0"/>
    <n v="2598.1677853281071"/>
    <n v="0"/>
    <n v="0"/>
    <n v="0"/>
    <n v="352.48255449692169"/>
    <n v="0"/>
    <n v="-42.288293007222819"/>
    <m/>
    <n v="0"/>
    <n v="0"/>
    <n v="0"/>
    <n v="0"/>
    <n v="-13.278424690939119"/>
    <n v="-23.566099494543437"/>
    <n v="0"/>
    <n v="-429.29612273073553"/>
    <m/>
    <m/>
    <m/>
    <n v="95550.867386962636"/>
    <n v="0"/>
    <n v="0"/>
    <n v="-20408.679820000005"/>
    <n v="1971.4253400000016"/>
    <n v="0"/>
    <n v="0"/>
    <n v="-21902.505630266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5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2.7759999999999998"/>
    <n v="2.7759999999999998"/>
    <n v="2.7759999999999998"/>
    <n v="2.7759999999999998"/>
    <m/>
    <n v="597.01"/>
    <n v="243.39"/>
    <m/>
    <n v="2332.9503999999997"/>
    <n v="2332.9503999999997"/>
    <n v="2113.3132799999998"/>
    <n v="0"/>
    <n v="69.076533443388527"/>
    <n v="0"/>
    <n v="0"/>
    <n v="0"/>
    <n v="325.3168461327881"/>
    <n v="1138.266944741677"/>
    <n v="675.64299156829213"/>
    <n v="0"/>
    <n v="0"/>
    <n v="0"/>
    <n v="0"/>
    <n v="0"/>
    <n v="28.201636131346483"/>
    <m/>
    <n v="4.76603506235638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661658242702174"/>
    <n v="0"/>
    <n v="0"/>
    <n v="0"/>
    <n v="0"/>
    <n v="11"/>
    <m/>
    <m/>
    <m/>
    <m/>
    <m/>
    <m/>
    <m/>
    <m/>
    <m/>
    <n v="767.30464981099431"/>
    <m/>
    <m/>
    <m/>
    <m/>
    <m/>
    <m/>
    <m/>
    <m/>
    <m/>
    <m/>
    <m/>
    <m/>
    <n v="2116.3583999999996"/>
    <n v="-216.6220000000003"/>
    <m/>
    <m/>
    <m/>
    <m/>
    <n v="-243.12207999999993"/>
    <n v="23.484960000000019"/>
    <n v="30"/>
    <n v="41.289732678126711"/>
    <n v="0"/>
    <n v="0"/>
    <n v="0"/>
    <n v="0"/>
    <n v="0"/>
    <n v="0"/>
    <n v="0"/>
    <n v="12.19632968482199"/>
    <n v="0"/>
    <n v="0"/>
    <n v="30.951142441802631"/>
    <n v="0"/>
    <n v="0"/>
    <n v="0"/>
    <n v="4.1990120168882612"/>
    <n v="0"/>
    <n v="-0.50376691908753912"/>
    <m/>
    <n v="0"/>
    <n v="0"/>
    <n v="0"/>
    <n v="0"/>
    <n v="-0.15818162950553827"/>
    <n v="-0.2807354114588847"/>
    <n v="0"/>
    <n v="-5.1140675053341935"/>
    <m/>
    <m/>
    <m/>
    <n v="1138.266944741677"/>
    <n v="0"/>
    <n v="0"/>
    <n v="-243.12207999999987"/>
    <n v="23.484960000000001"/>
    <n v="0"/>
    <n v="0"/>
    <n v="-260.9175494450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6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62.91"/>
    <n v="62.91"/>
    <n v="62.91"/>
    <n v="62.91"/>
    <m/>
    <n v="561.96"/>
    <n v="243.39"/>
    <m/>
    <n v="50664.568499999994"/>
    <n v="50664.568499999994"/>
    <n v="45699.082199999997"/>
    <n v="0"/>
    <n v="0"/>
    <n v="0"/>
    <n v="0"/>
    <n v="0"/>
    <n v="7372.3641175121402"/>
    <n v="25795.523592831018"/>
    <n v="15311.491570447139"/>
    <n v="0"/>
    <n v="0"/>
    <n v="0"/>
    <n v="0"/>
    <n v="0"/>
    <n v="0"/>
    <m/>
    <n v="108.008381042089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7.2460086629658"/>
    <n v="0"/>
    <n v="0"/>
    <n v="0"/>
    <n v="0"/>
    <n v="133"/>
    <m/>
    <m/>
    <m/>
    <m/>
    <m/>
    <m/>
    <m/>
    <n v="29704.2147"/>
    <m/>
    <n v="17388.737579110104"/>
    <m/>
    <m/>
    <m/>
    <m/>
    <m/>
    <m/>
    <m/>
    <m/>
    <m/>
    <m/>
    <m/>
    <m/>
    <n v="15994.867499999998"/>
    <n v="-1738.2332999999981"/>
    <m/>
    <m/>
    <m/>
    <m/>
    <n v="-5497.7049000000025"/>
    <n v="532.21860000000049"/>
    <n v="30"/>
    <n v="947.6011152744104"/>
    <n v="0"/>
    <n v="0"/>
    <n v="0"/>
    <n v="0"/>
    <n v="0"/>
    <n v="0"/>
    <n v="0"/>
    <n v="276.39448864270435"/>
    <n v="0"/>
    <n v="0"/>
    <n v="701.41800108566531"/>
    <n v="0"/>
    <n v="0"/>
    <n v="0"/>
    <n v="95.15844595909266"/>
    <n v="0"/>
    <n v="0"/>
    <m/>
    <n v="0"/>
    <n v="0"/>
    <n v="0"/>
    <n v="0"/>
    <n v="0"/>
    <n v="-6.3620550197688885"/>
    <n v="0"/>
    <n v="-119.00776539327863"/>
    <m/>
    <m/>
    <m/>
    <n v="25795.523592831018"/>
    <n v="0"/>
    <n v="0"/>
    <n v="-5497.7049000000006"/>
    <n v="532.21860000000015"/>
    <n v="0"/>
    <n v="0"/>
    <n v="-5912.9405747784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108.404"/>
    <n v="108.404"/>
    <n v="108.404"/>
    <n v="108.404"/>
    <m/>
    <n v="561.96"/>
    <n v="243.39"/>
    <m/>
    <n v="87303.161399999997"/>
    <n v="87303.161399999997"/>
    <n v="78746.833679999996"/>
    <n v="0"/>
    <n v="0"/>
    <n v="0"/>
    <n v="0"/>
    <n v="0"/>
    <n v="12703.763468364108"/>
    <n v="44449.816238392203"/>
    <n v="26384.150885435571"/>
    <n v="0"/>
    <n v="0"/>
    <n v="0"/>
    <n v="0"/>
    <n v="0"/>
    <n v="0"/>
    <m/>
    <n v="186.11572943072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9.4273775727256"/>
    <n v="0"/>
    <n v="0"/>
    <n v="0"/>
    <n v="0"/>
    <n v="1049"/>
    <m/>
    <m/>
    <m/>
    <m/>
    <m/>
    <m/>
    <m/>
    <n v="31498.950279999997"/>
    <m/>
    <n v="29963.578263008298"/>
    <m/>
    <m/>
    <m/>
    <m/>
    <m/>
    <m/>
    <m/>
    <m/>
    <m/>
    <m/>
    <m/>
    <m/>
    <n v="47246.140000000007"/>
    <n v="-5135.7868400000007"/>
    <m/>
    <m/>
    <m/>
    <m/>
    <n v="-9473.4255600000051"/>
    <n v="917.09784000000082"/>
    <n v="30"/>
    <n v="1632.8684040726075"/>
    <n v="0"/>
    <n v="0"/>
    <n v="0"/>
    <n v="0"/>
    <n v="0"/>
    <n v="0"/>
    <n v="0"/>
    <n v="476.2719463809226"/>
    <n v="0"/>
    <n v="0"/>
    <n v="1208.6554918087822"/>
    <n v="0"/>
    <n v="0"/>
    <n v="0"/>
    <n v="163.97323439436423"/>
    <n v="0"/>
    <n v="0"/>
    <m/>
    <n v="0"/>
    <n v="0"/>
    <n v="0"/>
    <n v="0"/>
    <n v="0"/>
    <n v="-10.962839172834634"/>
    <n v="0"/>
    <n v="-205.06942933862624"/>
    <m/>
    <m/>
    <m/>
    <n v="44449.816238392203"/>
    <n v="0"/>
    <n v="0"/>
    <n v="-9473.4255600000033"/>
    <n v="917.09784000000218"/>
    <n v="0"/>
    <n v="0"/>
    <n v="-10188.943094393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8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45.292999999999999"/>
    <n v="45.292999999999999"/>
    <n v="45.292999999999999"/>
    <n v="45.292999999999999"/>
    <m/>
    <n v="561.96"/>
    <n v="243.39"/>
    <m/>
    <n v="36476.717550000001"/>
    <n v="36476.717550000001"/>
    <n v="32901.74106"/>
    <n v="0"/>
    <n v="0"/>
    <n v="0"/>
    <n v="0"/>
    <n v="0"/>
    <n v="5307.8443486643991"/>
    <n v="18571.874902083855"/>
    <n v="11023.738478783378"/>
    <n v="0"/>
    <n v="0"/>
    <n v="0"/>
    <n v="0"/>
    <n v="0"/>
    <n v="0"/>
    <m/>
    <n v="77.7622572331800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5.5444837127916"/>
    <n v="0"/>
    <n v="0"/>
    <n v="0"/>
    <n v="0"/>
    <n v="805"/>
    <m/>
    <m/>
    <m/>
    <m/>
    <m/>
    <m/>
    <m/>
    <n v="3290.0835199999992"/>
    <m/>
    <n v="12519.282962496171"/>
    <m/>
    <m/>
    <m/>
    <m/>
    <m/>
    <m/>
    <m/>
    <m/>
    <m/>
    <m/>
    <m/>
    <m/>
    <n v="29609.696199999998"/>
    <n v="-3219.6060599999983"/>
    <m/>
    <m/>
    <m/>
    <m/>
    <n v="-3958.155270000002"/>
    <n v="383.17878000000036"/>
    <n v="30"/>
    <n v="682.23966482473406"/>
    <n v="0"/>
    <n v="0"/>
    <n v="0"/>
    <n v="0"/>
    <n v="0"/>
    <n v="0"/>
    <n v="0"/>
    <n v="198.99436614360275"/>
    <n v="0"/>
    <n v="0"/>
    <n v="504.9964317783033"/>
    <n v="0"/>
    <n v="0"/>
    <n v="0"/>
    <n v="68.510753343271062"/>
    <n v="0"/>
    <n v="0"/>
    <m/>
    <n v="0"/>
    <n v="0"/>
    <n v="0"/>
    <n v="0"/>
    <n v="0"/>
    <n v="-4.5804571293974305"/>
    <n v="0"/>
    <n v="-85.681429311043871"/>
    <m/>
    <m/>
    <m/>
    <n v="18571.874902083855"/>
    <n v="0"/>
    <n v="0"/>
    <n v="-3958.1552699999993"/>
    <n v="383.17878000000019"/>
    <n v="0"/>
    <n v="0"/>
    <n v="-4257.110434802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79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10.648999999999999"/>
    <n v="10.648999999999999"/>
    <n v="10.648999999999999"/>
    <n v="10.648999999999999"/>
    <m/>
    <n v="561.96"/>
    <n v="243.39"/>
    <m/>
    <n v="8576.1721499999985"/>
    <n v="8576.1721499999985"/>
    <n v="7735.6465799999996"/>
    <n v="0"/>
    <n v="0"/>
    <n v="0"/>
    <n v="0"/>
    <n v="0"/>
    <n v="1247.9463596786961"/>
    <n v="4366.5002501996105"/>
    <n v="2591.830769888596"/>
    <n v="0"/>
    <n v="0"/>
    <n v="0"/>
    <n v="0"/>
    <n v="0"/>
    <n v="0"/>
    <m/>
    <n v="18.28296375325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.62283812195079"/>
    <n v="0"/>
    <n v="53.75"/>
    <n v="248.27"/>
    <n v="1316.12"/>
    <n v="110"/>
    <m/>
    <m/>
    <m/>
    <m/>
    <m/>
    <m/>
    <m/>
    <m/>
    <m/>
    <n v="2943.4536080105468"/>
    <m/>
    <m/>
    <m/>
    <m/>
    <m/>
    <m/>
    <m/>
    <m/>
    <m/>
    <m/>
    <m/>
    <m/>
    <n v="7736.3729999999996"/>
    <n v="-839.82914999999957"/>
    <m/>
    <m/>
    <m/>
    <m/>
    <n v="-930.61611000000039"/>
    <n v="90.090540000000075"/>
    <n v="30"/>
    <n v="160.40381936984977"/>
    <n v="0"/>
    <n v="0"/>
    <n v="0"/>
    <n v="0"/>
    <n v="0"/>
    <n v="0"/>
    <n v="0"/>
    <n v="46.786280552474409"/>
    <n v="0"/>
    <n v="0"/>
    <n v="118.73152588716039"/>
    <n v="0"/>
    <n v="0"/>
    <n v="0"/>
    <n v="16.10780942645647"/>
    <n v="0"/>
    <n v="0"/>
    <m/>
    <n v="0"/>
    <n v="0"/>
    <n v="0"/>
    <n v="0"/>
    <n v="0"/>
    <n v="-1.0769277365366214"/>
    <n v="0"/>
    <n v="-20.144868759704721"/>
    <m/>
    <m/>
    <m/>
    <n v="4366.5002501996105"/>
    <n v="0"/>
    <n v="0"/>
    <n v="-930.61610999999994"/>
    <n v="90.090540000000146"/>
    <n v="0"/>
    <n v="0"/>
    <n v="-1000.9045331555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80"/>
    <s v="Regular"/>
    <s v="Convencional"/>
    <s v="B3"/>
    <s v="Industrial"/>
    <s v="Não se aplica"/>
    <s v="Não se aplica"/>
    <s v="Não se aplica"/>
    <s v="Não se aplica"/>
    <s v="CATIVO"/>
    <x v="6"/>
    <n v="0"/>
    <n v="0"/>
    <n v="0.44600000000000001"/>
    <n v="0.44600000000000001"/>
    <n v="0.44600000000000001"/>
    <n v="0.44600000000000001"/>
    <m/>
    <n v="597.01"/>
    <n v="243.39"/>
    <m/>
    <n v="374.8184"/>
    <n v="374.8184"/>
    <n v="339.53088000000002"/>
    <n v="0"/>
    <n v="11.09803094947813"/>
    <n v="0"/>
    <n v="0"/>
    <n v="0"/>
    <n v="52.266323261968125"/>
    <n v="182.87718204423197"/>
    <n v="108.55071118136107"/>
    <n v="0"/>
    <n v="0"/>
    <n v="0"/>
    <n v="0"/>
    <n v="0"/>
    <n v="4.5309545081341973"/>
    <m/>
    <n v="0.7657246533901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726620884814542"/>
    <n v="0"/>
    <n v="0"/>
    <n v="0"/>
    <n v="0"/>
    <n v="3"/>
    <m/>
    <m/>
    <m/>
    <m/>
    <m/>
    <m/>
    <m/>
    <m/>
    <m/>
    <n v="123.2773320661756"/>
    <m/>
    <m/>
    <m/>
    <m/>
    <m/>
    <m/>
    <m/>
    <m/>
    <m/>
    <m/>
    <m/>
    <m/>
    <n v="342.57600000000002"/>
    <n v="-32.272399999999948"/>
    <m/>
    <m/>
    <m/>
    <m/>
    <n v="-39.060679999999991"/>
    <n v="3.7731600000000034"/>
    <n v="30"/>
    <n v="6.6337250628402273"/>
    <n v="0"/>
    <n v="0"/>
    <n v="0"/>
    <n v="0"/>
    <n v="0"/>
    <n v="0"/>
    <n v="0"/>
    <n v="1.9594967721291709"/>
    <n v="0"/>
    <n v="0"/>
    <n v="4.9726979571484122"/>
    <n v="0"/>
    <n v="0"/>
    <n v="0"/>
    <n v="0.67462512951446918"/>
    <n v="0"/>
    <n v="-8.0936615962912128E-2"/>
    <m/>
    <n v="0"/>
    <n v="0"/>
    <n v="0"/>
    <n v="0"/>
    <n v="-2.5413907334102426E-2"/>
    <n v="-4.5103744060036921E-2"/>
    <n v="0"/>
    <n v="-0.82164052859475878"/>
    <m/>
    <m/>
    <m/>
    <n v="182.87718204423197"/>
    <n v="0"/>
    <n v="0"/>
    <n v="-39.060679999999991"/>
    <n v="3.7731600000000043"/>
    <n v="0"/>
    <n v="0"/>
    <n v="-41.919750379132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81"/>
    <s v="Regular"/>
    <s v="Verde"/>
    <s v="A4"/>
    <s v="Industrial"/>
    <s v="Não se aplica"/>
    <s v="Não se aplica"/>
    <s v="Não se aplica"/>
    <s v="Ponta"/>
    <s v="CATIVO"/>
    <x v="6"/>
    <n v="0"/>
    <n v="0"/>
    <n v="0.18"/>
    <n v="0.18"/>
    <n v="0.18"/>
    <n v="0.18"/>
    <m/>
    <n v="2773.91"/>
    <n v="243.39"/>
    <m/>
    <n v="543.11399999999992"/>
    <n v="543.11399999999992"/>
    <n v="467.52660000000003"/>
    <n v="0"/>
    <n v="3.8967525710499418"/>
    <n v="0"/>
    <n v="0"/>
    <n v="0"/>
    <n v="129.69135346792751"/>
    <n v="361.03421696350858"/>
    <n v="43.809704064226437"/>
    <n v="0"/>
    <n v="0"/>
    <n v="0"/>
    <n v="0"/>
    <n v="0"/>
    <n v="1.8286363485743398"/>
    <m/>
    <n v="0.124862133833151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286432076044438"/>
    <n v="0"/>
    <n v="0"/>
    <n v="0"/>
    <n v="0"/>
    <n v="0"/>
    <m/>
    <m/>
    <m/>
    <m/>
    <m/>
    <m/>
    <m/>
    <m/>
    <m/>
    <n v="46.538347271830879"/>
    <m/>
    <m/>
    <m/>
    <m/>
    <m/>
    <m/>
    <m/>
    <m/>
    <m/>
    <m/>
    <m/>
    <m/>
    <n v="467.52660000000003"/>
    <n v="-75.617399999999861"/>
    <m/>
    <m/>
    <m/>
    <m/>
    <n v="-77.110199999999978"/>
    <n v="1.5228000000000015"/>
    <n v="30"/>
    <n v="7.1696763442706128"/>
    <n v="0"/>
    <n v="0"/>
    <n v="0"/>
    <n v="0"/>
    <n v="0"/>
    <n v="0"/>
    <n v="0"/>
    <n v="4.8622090216620677"/>
    <n v="0"/>
    <n v="0"/>
    <n v="2.0069184580419588"/>
    <n v="0"/>
    <n v="0"/>
    <n v="0"/>
    <n v="0.12499889090153404"/>
    <n v="0"/>
    <n v="-2.8418551703567552E-2"/>
    <m/>
    <n v="0"/>
    <n v="0"/>
    <n v="0"/>
    <n v="0"/>
    <n v="-1.0256733901655934E-2"/>
    <n v="-7.3547974487527118E-3"/>
    <n v="0"/>
    <n v="0.22158005671903147"/>
    <m/>
    <m/>
    <m/>
    <n v="361.03421696350858"/>
    <n v="0"/>
    <n v="0"/>
    <n v="-77.110199999999963"/>
    <n v="1.5228000000000037"/>
    <n v="0"/>
    <n v="0"/>
    <n v="-82.757532045605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82"/>
    <s v="Regular"/>
    <s v="Verde"/>
    <s v="A4"/>
    <s v="Industrial"/>
    <s v="Não se aplica"/>
    <s v="Não se aplica"/>
    <s v="Não se aplica"/>
    <s v="Fora ponta"/>
    <s v="CATIVO"/>
    <x v="6"/>
    <n v="0"/>
    <n v="0"/>
    <n v="30.475000000000001"/>
    <n v="30.475000000000001"/>
    <n v="30.475000000000001"/>
    <n v="30.475000000000001"/>
    <m/>
    <n v="47.66"/>
    <n v="243.39"/>
    <m/>
    <n v="8869.7487499999988"/>
    <n v="8869.7487499999988"/>
    <n v="9143.1095000000005"/>
    <n v="0"/>
    <n v="659.74185890414992"/>
    <n v="0"/>
    <n v="0"/>
    <n v="0"/>
    <n v="0"/>
    <n v="0"/>
    <n v="7417.2262853183374"/>
    <n v="0"/>
    <n v="0"/>
    <n v="0"/>
    <n v="0"/>
    <n v="0"/>
    <n v="309.59829290446118"/>
    <m/>
    <n v="21.139852936473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1.97445417636357"/>
    <n v="0"/>
    <n v="0"/>
    <n v="0"/>
    <n v="0"/>
    <n v="0"/>
    <m/>
    <m/>
    <m/>
    <m/>
    <m/>
    <m/>
    <m/>
    <m/>
    <m/>
    <n v="7879.2007394947013"/>
    <m/>
    <m/>
    <m/>
    <m/>
    <m/>
    <m/>
    <m/>
    <m/>
    <m/>
    <m/>
    <m/>
    <m/>
    <n v="9144.6095999999998"/>
    <n v="274.83085000000028"/>
    <m/>
    <m/>
    <m/>
    <m/>
    <n v="15.542250000000157"/>
    <n v="257.81850000000026"/>
    <n v="30"/>
    <n v="273.37542670409493"/>
    <n v="0"/>
    <n v="0"/>
    <n v="0"/>
    <n v="0"/>
    <n v="0"/>
    <n v="0"/>
    <n v="0"/>
    <n v="0"/>
    <n v="0"/>
    <n v="0"/>
    <n v="339.78244449349313"/>
    <n v="0"/>
    <n v="0"/>
    <n v="0"/>
    <n v="21.163006667912441"/>
    <n v="0"/>
    <n v="-4.8114186842568643"/>
    <m/>
    <n v="0"/>
    <n v="0"/>
    <n v="0"/>
    <n v="0"/>
    <n v="-1.7365220314054"/>
    <n v="-1.2452080680596609"/>
    <n v="0"/>
    <n v="-79.776875673590411"/>
    <m/>
    <m/>
    <m/>
    <n v="0"/>
    <n v="0"/>
    <n v="0"/>
    <n v="15.542250000000195"/>
    <n v="257.81850000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83"/>
    <s v="Regular"/>
    <s v="Verde"/>
    <s v="A4"/>
    <s v="Industrial"/>
    <s v="Não se aplica"/>
    <s v="Não se aplica"/>
    <s v="Não se aplica"/>
    <s v="Não se aplica"/>
    <s v="CATIVO"/>
    <x v="6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n v="30"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184"/>
    <s v="Regular"/>
    <s v="Convencional"/>
    <s v="B3"/>
    <s v="Comercial"/>
    <s v="Não se aplica"/>
    <s v="Não se aplica"/>
    <s v="Não se aplica"/>
    <s v="Não se aplica"/>
    <s v="CATIVO"/>
    <x v="6"/>
    <n v="0"/>
    <n v="0"/>
    <n v="69.272000000000006"/>
    <n v="69.272000000000006"/>
    <n v="69.272000000000006"/>
    <n v="69.272000000000006"/>
    <m/>
    <n v="597.01"/>
    <n v="243.39"/>
    <m/>
    <n v="58216.188800000004"/>
    <n v="58216.188800000004"/>
    <n v="52735.388160000002"/>
    <n v="0"/>
    <n v="1723.7282509691684"/>
    <n v="0"/>
    <n v="0"/>
    <n v="0"/>
    <n v="8117.9209529216505"/>
    <n v="28404.188687372283"/>
    <n v="16859.921221872744"/>
    <n v="0"/>
    <n v="0"/>
    <n v="0"/>
    <n v="0"/>
    <n v="0"/>
    <n v="703.74053965800931"/>
    <m/>
    <n v="118.931117017129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7.3149819122714"/>
    <n v="0"/>
    <n v="89.08"/>
    <n v="411.28"/>
    <n v="5041.0200000000004"/>
    <n v="210"/>
    <m/>
    <m/>
    <m/>
    <m/>
    <m/>
    <m/>
    <m/>
    <m/>
    <m/>
    <n v="19147.236203785014"/>
    <m/>
    <m/>
    <m/>
    <m/>
    <m/>
    <m/>
    <m/>
    <m/>
    <m/>
    <m/>
    <m/>
    <m/>
    <n v="52733.865599999997"/>
    <n v="-5482.3532000000123"/>
    <m/>
    <m/>
    <m/>
    <m/>
    <n v="-6066.8417599999993"/>
    <n v="586.04112000000055"/>
    <n v="30"/>
    <n v="1030.3394676077805"/>
    <n v="0"/>
    <n v="0"/>
    <n v="0"/>
    <n v="0"/>
    <n v="0"/>
    <n v="0"/>
    <n v="0"/>
    <n v="304.34587533392823"/>
    <n v="0"/>
    <n v="0"/>
    <n v="772.35141903045951"/>
    <n v="0"/>
    <n v="0"/>
    <n v="0"/>
    <n v="104.78168603526092"/>
    <n v="0"/>
    <n v="-12.570944531351643"/>
    <m/>
    <n v="0"/>
    <n v="0"/>
    <n v="0"/>
    <n v="0"/>
    <n v="-3.9472470601972418"/>
    <n v="-7.0054407141858377"/>
    <n v="0"/>
    <n v="-127.61588048613484"/>
    <m/>
    <m/>
    <m/>
    <n v="28404.188687372283"/>
    <n v="0"/>
    <n v="0"/>
    <n v="-6066.841760000003"/>
    <n v="586.04112000000168"/>
    <n v="0"/>
    <n v="0"/>
    <n v="-6510.907955747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85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5.8289999999999997"/>
    <n v="5.8289999999999997"/>
    <n v="5.8289999999999997"/>
    <n v="5.8289999999999997"/>
    <m/>
    <n v="597.01"/>
    <n v="243.39"/>
    <m/>
    <n v="4898.6916000000001"/>
    <n v="4898.6916000000001"/>
    <n v="4437.5011199999999"/>
    <n v="0"/>
    <n v="145.04579014463681"/>
    <n v="0"/>
    <n v="0"/>
    <n v="0"/>
    <n v="683.09506343948919"/>
    <n v="2390.1145608426641"/>
    <n v="1418.7042499465329"/>
    <n v="0"/>
    <n v="0"/>
    <n v="0"/>
    <n v="0"/>
    <n v="0"/>
    <n v="59.217340421332366"/>
    <m/>
    <n v="10.007643508096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.46967071207166"/>
    <n v="0"/>
    <n v="0"/>
    <n v="0"/>
    <n v="0"/>
    <n v="6"/>
    <m/>
    <m/>
    <m/>
    <m/>
    <m/>
    <m/>
    <m/>
    <m/>
    <m/>
    <n v="1611.1739206586044"/>
    <m/>
    <m/>
    <m/>
    <m/>
    <m/>
    <m/>
    <m/>
    <m/>
    <m/>
    <m/>
    <m/>
    <m/>
    <n v="4438.2623999999996"/>
    <n v="-460.45920000000115"/>
    <m/>
    <m/>
    <m/>
    <m/>
    <n v="-510.50381999999991"/>
    <n v="49.313340000000046"/>
    <n v="30"/>
    <n v="86.699514330258808"/>
    <n v="0"/>
    <n v="0"/>
    <n v="0"/>
    <n v="0"/>
    <n v="0"/>
    <n v="0"/>
    <n v="0"/>
    <n v="25.609656243813788"/>
    <n v="0"/>
    <n v="0"/>
    <n v="64.990709399592106"/>
    <n v="0"/>
    <n v="0"/>
    <n v="0"/>
    <n v="8.8170176680265513"/>
    <n v="0"/>
    <n v="-1.0578016467439681"/>
    <m/>
    <n v="0"/>
    <n v="0"/>
    <n v="0"/>
    <n v="0"/>
    <n v="-0.33214723284861947"/>
    <n v="-0.58948368638106707"/>
    <n v="0"/>
    <n v="-10.738436415199214"/>
    <m/>
    <m/>
    <m/>
    <n v="2390.1145608426641"/>
    <n v="0"/>
    <n v="0"/>
    <n v="-510.50381999999991"/>
    <n v="49.313339999999926"/>
    <n v="0"/>
    <n v="0"/>
    <n v="-547.87045955148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86"/>
    <s v="Regular"/>
    <s v="Branca"/>
    <s v="B3"/>
    <s v="Comercial"/>
    <s v="Não se aplica"/>
    <s v="Não se aplica"/>
    <s v="Não se aplica"/>
    <s v="Ponta"/>
    <s v="CATIVO"/>
    <x v="6"/>
    <n v="0"/>
    <n v="0"/>
    <n v="1.2E-2"/>
    <n v="1.2E-2"/>
    <n v="1.2E-2"/>
    <n v="1.2E-2"/>
    <m/>
    <n v="1783.27"/>
    <n v="243.39"/>
    <m/>
    <n v="24.31992"/>
    <n v="24.31992"/>
    <n v="20.971440000000001"/>
    <n v="0"/>
    <n v="0.29860172958237119"/>
    <n v="0"/>
    <n v="0"/>
    <n v="0"/>
    <n v="4.5703759872473402"/>
    <n v="15.9915089353344"/>
    <n v="2.9206469376150959"/>
    <n v="0"/>
    <n v="0"/>
    <n v="0"/>
    <n v="0"/>
    <n v="0"/>
    <n v="0.121909089904956"/>
    <m/>
    <n v="2.06024570418863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9623195205779038"/>
    <n v="0"/>
    <n v="0"/>
    <n v="0"/>
    <n v="0"/>
    <n v="0"/>
    <m/>
    <m/>
    <m/>
    <m/>
    <m/>
    <m/>
    <m/>
    <m/>
    <m/>
    <n v="3.3168788896728865"/>
    <m/>
    <m/>
    <m/>
    <m/>
    <m/>
    <m/>
    <m/>
    <m/>
    <m/>
    <m/>
    <m/>
    <m/>
    <n v="17.476200000000002"/>
    <n v="-6.8737200000000023"/>
    <m/>
    <m/>
    <m/>
    <m/>
    <n v="-3.45"/>
    <n v="0.1015200000000001"/>
    <n v="30"/>
    <n v="0.31720665516410662"/>
    <n v="0"/>
    <n v="0"/>
    <n v="0"/>
    <n v="0"/>
    <n v="0"/>
    <n v="0"/>
    <n v="0"/>
    <n v="0.17134622134293576"/>
    <n v="0"/>
    <n v="0"/>
    <n v="0.13379456386946398"/>
    <n v="0"/>
    <n v="0"/>
    <n v="0"/>
    <n v="1.8151348776174026E-2"/>
    <n v="0"/>
    <n v="-2.1776667972083774E-3"/>
    <m/>
    <n v="0"/>
    <n v="0"/>
    <n v="0"/>
    <n v="0"/>
    <n v="-6.8378226011039933E-4"/>
    <n v="-1.2135536518395572E-3"/>
    <n v="0"/>
    <n v="-2.0104761153067197E-3"/>
    <m/>
    <m/>
    <m/>
    <n v="15.9915089353344"/>
    <n v="0"/>
    <n v="0"/>
    <n v="-3.4499999999999993"/>
    <n v="0.10151999999999983"/>
    <n v="0"/>
    <n v="0"/>
    <n v="-3.66562987936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87"/>
    <s v="Regular"/>
    <s v="Branca"/>
    <s v="B3"/>
    <s v="Comercial"/>
    <s v="Não se aplica"/>
    <s v="Não se aplica"/>
    <s v="Não se aplica"/>
    <s v="Fora ponta"/>
    <s v="CATIVO"/>
    <x v="6"/>
    <n v="0"/>
    <n v="0"/>
    <n v="0.53900000000000003"/>
    <n v="0.53900000000000003"/>
    <n v="0.53900000000000003"/>
    <n v="0.53900000000000003"/>
    <m/>
    <n v="412.48"/>
    <n v="243.39"/>
    <m/>
    <n v="353.51393000000002"/>
    <n v="353.51393000000002"/>
    <n v="327.63115000000005"/>
    <n v="0"/>
    <n v="13.412194353741507"/>
    <n v="0"/>
    <n v="0"/>
    <n v="0"/>
    <n v="41.057859190461059"/>
    <n v="143.65711591439748"/>
    <n v="131.18572494787807"/>
    <n v="0"/>
    <n v="0"/>
    <n v="0"/>
    <n v="0"/>
    <n v="0"/>
    <n v="5.4757499548976067"/>
    <m/>
    <n v="0.925393695464730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797418513262418"/>
    <n v="0"/>
    <n v="0"/>
    <n v="0"/>
    <n v="0"/>
    <n v="0"/>
    <m/>
    <m/>
    <m/>
    <m/>
    <m/>
    <m/>
    <m/>
    <m/>
    <m/>
    <n v="148.98314346114049"/>
    <m/>
    <m/>
    <m/>
    <m/>
    <m/>
    <m/>
    <m/>
    <m/>
    <m/>
    <m/>
    <m/>
    <m/>
    <n v="328.23900000000003"/>
    <n v="-25.304929999999956"/>
    <m/>
    <m/>
    <m/>
    <m/>
    <n v="-30.442720000000012"/>
    <n v="4.5599400000000045"/>
    <n v="30"/>
    <n v="7.0477703401881229"/>
    <n v="0"/>
    <n v="0"/>
    <n v="0"/>
    <n v="0"/>
    <n v="0"/>
    <n v="0"/>
    <n v="0"/>
    <n v="1.5392845245874867"/>
    <n v="0"/>
    <n v="0"/>
    <n v="6.0096058271367667"/>
    <n v="0"/>
    <n v="0"/>
    <n v="0"/>
    <n v="0.81529808252981795"/>
    <n v="0"/>
    <n v="-9.7813533641275541E-2"/>
    <m/>
    <n v="0"/>
    <n v="0"/>
    <n v="0"/>
    <n v="0"/>
    <n v="-3.0713219849958229E-2"/>
    <n v="-5.4508784861793558E-2"/>
    <n v="0"/>
    <n v="-1.1333825557129877"/>
    <m/>
    <m/>
    <m/>
    <n v="143.65711591439748"/>
    <n v="0"/>
    <n v="0"/>
    <n v="-30.442720000000008"/>
    <n v="4.5599400000000117"/>
    <n v="0"/>
    <n v="0"/>
    <n v="-32.929588984267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88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189"/>
    <s v="Regular"/>
    <s v="Branca"/>
    <s v="B3"/>
    <s v="Comercial"/>
    <s v="Não se aplica"/>
    <s v="Não se aplica"/>
    <s v="Não se aplica"/>
    <s v="Intermediário"/>
    <s v="CATIVO"/>
    <x v="6"/>
    <n v="0"/>
    <n v="0"/>
    <n v="1.9E-2"/>
    <n v="1.9E-2"/>
    <n v="1.9E-2"/>
    <n v="1.9E-2"/>
    <m/>
    <n v="1097.8699999999999"/>
    <n v="243.39"/>
    <m/>
    <n v="25.483939999999997"/>
    <n v="25.483939999999997"/>
    <n v="22.376869999999997"/>
    <n v="0"/>
    <n v="0.47278607183875437"/>
    <n v="0"/>
    <n v="0"/>
    <n v="0"/>
    <n v="4.3418905850658511"/>
    <n v="15.191930994496504"/>
    <n v="4.6243576512239013"/>
    <n v="0"/>
    <n v="0"/>
    <n v="0"/>
    <n v="0"/>
    <n v="0"/>
    <n v="0.19302272568284698"/>
    <m/>
    <n v="3.26205569829867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2736725742483479"/>
    <n v="0"/>
    <n v="0"/>
    <n v="0"/>
    <n v="0"/>
    <n v="0"/>
    <m/>
    <m/>
    <m/>
    <m/>
    <m/>
    <m/>
    <m/>
    <m/>
    <m/>
    <n v="5.2517249086487361"/>
    <m/>
    <m/>
    <m/>
    <m/>
    <m/>
    <m/>
    <m/>
    <m/>
    <m/>
    <m/>
    <m/>
    <m/>
    <n v="23.554600000000001"/>
    <n v="-1.959340000000001"/>
    <m/>
    <m/>
    <m/>
    <m/>
    <n v="-3.2678099999999981"/>
    <n v="0.16074000000000016"/>
    <n v="30"/>
    <n v="0.37534137176531068"/>
    <n v="0"/>
    <n v="0"/>
    <n v="0"/>
    <n v="0"/>
    <n v="0"/>
    <n v="0"/>
    <n v="0"/>
    <n v="0.16278016235675441"/>
    <n v="0"/>
    <n v="0"/>
    <n v="0.21184139279331848"/>
    <n v="0"/>
    <n v="0"/>
    <n v="0"/>
    <n v="2.8739635562275545E-2"/>
    <n v="0"/>
    <n v="-3.4479724289132596E-3"/>
    <m/>
    <n v="0"/>
    <n v="0"/>
    <n v="0"/>
    <n v="0"/>
    <n v="-1.0826552451747851E-3"/>
    <n v="-1.9214599487459676E-3"/>
    <n v="0"/>
    <n v="-2.1567731324201651E-2"/>
    <m/>
    <m/>
    <m/>
    <n v="15.191930994496504"/>
    <n v="0"/>
    <n v="0"/>
    <n v="-3.2678099999999972"/>
    <n v="0.16074000000000055"/>
    <n v="0"/>
    <n v="0"/>
    <n v="-3.4823478136942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0"/>
    <s v="Regular"/>
    <s v="Convencional"/>
    <s v="B2"/>
    <s v="Rural"/>
    <s v="Não se aplica"/>
    <s v="Não se aplica"/>
    <s v="Não se aplica"/>
    <s v="Não se aplica"/>
    <s v="CATIVO"/>
    <x v="6"/>
    <n v="0"/>
    <n v="0"/>
    <n v="233.98599999999999"/>
    <n v="233.98599999999999"/>
    <n v="233.98599999999999"/>
    <n v="233.98599999999999"/>
    <m/>
    <n v="597.01"/>
    <n v="243.39"/>
    <m/>
    <n v="196641.83439999999"/>
    <n v="196641.83439999999"/>
    <n v="178128.86207999999"/>
    <n v="0"/>
    <n v="5822.3853581717258"/>
    <n v="0"/>
    <n v="0"/>
    <n v="0"/>
    <n v="27420.600705773257"/>
    <n v="95943.274255160679"/>
    <n v="56949.207862067153"/>
    <n v="0"/>
    <n v="0"/>
    <n v="0"/>
    <n v="0"/>
    <n v="0"/>
    <n v="2377.0850258750861"/>
    <m/>
    <n v="401.72387611690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26.0607945161782"/>
    <n v="0"/>
    <n v="128.11000000000001"/>
    <n v="591.96"/>
    <n v="0"/>
    <n v="1752"/>
    <m/>
    <m/>
    <m/>
    <m/>
    <m/>
    <n v="21376.960959999997"/>
    <m/>
    <m/>
    <m/>
    <n v="64675.268656583328"/>
    <m/>
    <m/>
    <m/>
    <m/>
    <m/>
    <m/>
    <m/>
    <m/>
    <m/>
    <m/>
    <m/>
    <m/>
    <n v="156754.5808"/>
    <n v="-16289.795500000007"/>
    <m/>
    <m/>
    <m/>
    <m/>
    <n v="-20492.493879999995"/>
    <n v="1979.5215600000017"/>
    <n v="30"/>
    <n v="3480.2663510173443"/>
    <n v="0"/>
    <n v="0"/>
    <n v="0"/>
    <n v="0"/>
    <n v="0"/>
    <n v="0"/>
    <n v="0"/>
    <n v="1028.015272922461"/>
    <n v="0"/>
    <n v="0"/>
    <n v="2608.8379017966945"/>
    <n v="0"/>
    <n v="0"/>
    <n v="0"/>
    <n v="353.93012456182169"/>
    <n v="0"/>
    <n v="-42.461961934300234"/>
    <m/>
    <n v="0"/>
    <n v="0"/>
    <n v="0"/>
    <n v="0"/>
    <n v="-13.332956326182739"/>
    <n v="-23.662880398277593"/>
    <n v="0"/>
    <n v="-431.05914960487269"/>
    <m/>
    <m/>
    <m/>
    <n v="95943.274255160679"/>
    <n v="0"/>
    <n v="0"/>
    <n v="-20492.493880000009"/>
    <n v="1979.521560000001"/>
    <n v="0"/>
    <n v="0"/>
    <n v="-21992.454511685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1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5.5339999999999998"/>
    <n v="5.5339999999999998"/>
    <n v="5.5339999999999998"/>
    <n v="5.5339999999999998"/>
    <m/>
    <n v="597.01"/>
    <n v="243.39"/>
    <m/>
    <n v="4650.7735999999995"/>
    <n v="4650.7735999999995"/>
    <n v="4212.9235199999994"/>
    <n v="0"/>
    <n v="137.70516429240351"/>
    <n v="0"/>
    <n v="0"/>
    <n v="0"/>
    <n v="648.52428908460001"/>
    <n v="2269.1531960376228"/>
    <n v="1346.9050127301616"/>
    <n v="0"/>
    <n v="0"/>
    <n v="0"/>
    <n v="0"/>
    <n v="0"/>
    <n v="56.220408627835539"/>
    <m/>
    <n v="9.50116643914994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72896855731767"/>
    <n v="0"/>
    <n v="0"/>
    <n v="0"/>
    <n v="0"/>
    <n v="7"/>
    <m/>
    <m/>
    <m/>
    <m/>
    <m/>
    <n v="505.58623999999986"/>
    <m/>
    <m/>
    <m/>
    <n v="1529.6339812874794"/>
    <m/>
    <m/>
    <m/>
    <m/>
    <m/>
    <m/>
    <m/>
    <m/>
    <m/>
    <m/>
    <m/>
    <m/>
    <n v="3704.6576000000005"/>
    <n v="-388.04210000000012"/>
    <m/>
    <m/>
    <m/>
    <m/>
    <n v="-484.66771999999992"/>
    <n v="46.81764000000004"/>
    <n v="30"/>
    <n v="82.311736542058043"/>
    <n v="0"/>
    <n v="0"/>
    <n v="0"/>
    <n v="0"/>
    <n v="0"/>
    <n v="0"/>
    <n v="0"/>
    <n v="24.313576540275449"/>
    <n v="0"/>
    <n v="0"/>
    <n v="61.701593037801331"/>
    <n v="0"/>
    <n v="0"/>
    <n v="0"/>
    <n v="8.3707970106122502"/>
    <n v="0"/>
    <n v="-1.0042673379792575"/>
    <m/>
    <n v="0"/>
    <n v="0"/>
    <n v="0"/>
    <n v="0"/>
    <n v="-0.31533758562091663"/>
    <n v="-0.55965049244001008"/>
    <n v="0"/>
    <n v="-10.194974630590572"/>
    <m/>
    <m/>
    <m/>
    <n v="2269.1531960376228"/>
    <n v="0"/>
    <n v="0"/>
    <n v="-484.66771999999992"/>
    <n v="46.817639999999983"/>
    <n v="0"/>
    <n v="0"/>
    <n v="-520.14327039936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2"/>
    <s v="Regular"/>
    <s v="Branca"/>
    <s v="B2"/>
    <s v="Rural"/>
    <s v="Não se aplica"/>
    <s v="Não se aplica"/>
    <s v="Não se aplica"/>
    <s v="Ponta"/>
    <s v="CATIVO"/>
    <x v="6"/>
    <n v="0"/>
    <n v="0"/>
    <n v="0.01"/>
    <n v="0.01"/>
    <n v="0.01"/>
    <n v="0.01"/>
    <m/>
    <n v="1298.56"/>
    <n v="214.18"/>
    <m/>
    <n v="15.1274"/>
    <n v="15.1274"/>
    <n v="13.128100000000002"/>
    <n v="0"/>
    <n v="0.218974601693739"/>
    <n v="0"/>
    <n v="0"/>
    <n v="0"/>
    <n v="2.7498820579632901"/>
    <n v="9.6216581565072907"/>
    <n v="2.1418077542510701"/>
    <n v="0"/>
    <n v="0"/>
    <n v="0"/>
    <n v="0"/>
    <n v="0"/>
    <n v="8.9399999263634303E-2"/>
    <m/>
    <n v="1.5108468497383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90570098175713"/>
    <n v="0"/>
    <n v="0"/>
    <n v="0"/>
    <n v="0"/>
    <n v="0"/>
    <m/>
    <m/>
    <m/>
    <m/>
    <m/>
    <m/>
    <m/>
    <m/>
    <m/>
    <n v="2.4323778524267832"/>
    <m/>
    <m/>
    <m/>
    <m/>
    <m/>
    <m/>
    <m/>
    <m/>
    <m/>
    <m/>
    <m/>
    <m/>
    <n v="13.128100000000002"/>
    <n v="-2.0292999999999974"/>
    <m/>
    <m/>
    <m/>
    <m/>
    <n v="-2.073799999999999"/>
    <n v="7.4499999999999886E-2"/>
    <n v="30"/>
    <n v="0.20623724826620649"/>
    <n v="0"/>
    <n v="0"/>
    <n v="0"/>
    <n v="0"/>
    <n v="0"/>
    <n v="0"/>
    <n v="0"/>
    <n v="0.1030947784351901"/>
    <n v="0"/>
    <n v="0"/>
    <n v="9.8116013504270239E-2"/>
    <n v="0"/>
    <n v="0"/>
    <n v="0"/>
    <n v="1.3310989102528037E-2"/>
    <n v="0"/>
    <n v="-1.5969556512860084E-3"/>
    <m/>
    <n v="0"/>
    <n v="0"/>
    <n v="0"/>
    <n v="0"/>
    <n v="-5.0144032408050432E-4"/>
    <n v="-8.8993934468239999E-4"/>
    <n v="0"/>
    <n v="-5.2961974557317985E-3"/>
    <m/>
    <m/>
    <m/>
    <n v="9.6216581565072907"/>
    <n v="0"/>
    <n v="0"/>
    <n v="-2.0737999999999985"/>
    <n v="7.4500000000000011E-2"/>
    <n v="0"/>
    <n v="0"/>
    <n v="-2.2055102973785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3"/>
    <s v="Regular"/>
    <s v="Branca"/>
    <s v="B2"/>
    <s v="Rural"/>
    <s v="Não se aplica"/>
    <s v="Não se aplica"/>
    <s v="Não se aplica"/>
    <s v="Fora ponta"/>
    <s v="CATIVO"/>
    <x v="6"/>
    <n v="0"/>
    <n v="0"/>
    <n v="2.0289999999999999"/>
    <n v="2.0289999999999999"/>
    <n v="2.0289999999999999"/>
    <n v="2.0289999999999999"/>
    <m/>
    <n v="308.83999999999997"/>
    <n v="214.18"/>
    <m/>
    <n v="1061.20758"/>
    <n v="1061.20758"/>
    <n v="993.98680999999988"/>
    <n v="0"/>
    <n v="44.429946683659644"/>
    <n v="0"/>
    <n v="0"/>
    <n v="0"/>
    <n v="111.593393699373"/>
    <n v="390.44708888793804"/>
    <n v="434.57279333754207"/>
    <n v="0"/>
    <n v="0"/>
    <n v="0"/>
    <n v="0"/>
    <n v="0"/>
    <n v="18.139259850591401"/>
    <m/>
    <n v="3.0655082581190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95667291985216"/>
    <n v="0"/>
    <n v="0"/>
    <n v="0"/>
    <n v="0"/>
    <n v="0"/>
    <m/>
    <m/>
    <m/>
    <m/>
    <m/>
    <m/>
    <m/>
    <m/>
    <m/>
    <n v="493.52946625739423"/>
    <m/>
    <m/>
    <m/>
    <m/>
    <m/>
    <m/>
    <m/>
    <m/>
    <m/>
    <m/>
    <m/>
    <m/>
    <n v="994.47669999999994"/>
    <n v="-66.760880000000043"/>
    <m/>
    <m/>
    <m/>
    <m/>
    <n v="-82.33681999999996"/>
    <n v="15.116049999999976"/>
    <n v="30"/>
    <n v="22.276318574138486"/>
    <n v="0"/>
    <n v="0"/>
    <n v="0"/>
    <n v="0"/>
    <n v="0"/>
    <n v="0"/>
    <n v="0"/>
    <n v="4.1837053210888229"/>
    <n v="0"/>
    <n v="0"/>
    <n v="19.907739140016417"/>
    <n v="0"/>
    <n v="0"/>
    <n v="0"/>
    <n v="2.70079968890294"/>
    <n v="0"/>
    <n v="-0.32402230164593249"/>
    <m/>
    <n v="0"/>
    <n v="0"/>
    <n v="0"/>
    <n v="0"/>
    <n v="-0.10174224175593594"/>
    <n v="-0.18056869303605882"/>
    <n v="0"/>
    <n v="-3.9095923394319474"/>
    <m/>
    <m/>
    <m/>
    <n v="390.44708888793804"/>
    <n v="0"/>
    <n v="0"/>
    <n v="-82.336819999999989"/>
    <n v="15.116049999999973"/>
    <n v="0"/>
    <n v="0"/>
    <n v="-89.499653917909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4"/>
    <s v="Regular"/>
    <s v="Branca"/>
    <s v="B2"/>
    <s v="Rural"/>
    <s v="Não se aplica"/>
    <s v="Não se aplica"/>
    <s v="Não se aplica"/>
    <s v="Não se aplica"/>
    <s v="CATIVO"/>
    <x v="6"/>
    <n v="0"/>
    <n v="0"/>
    <n v="0.128"/>
    <n v="0.128"/>
    <n v="0.128"/>
    <n v="0.128"/>
    <m/>
    <n v="597.01"/>
    <n v="243.39"/>
    <m/>
    <n v="107.5712"/>
    <n v="107.5712"/>
    <n v="97.443840000000009"/>
    <n v="0"/>
    <n v="3.1850851155452928"/>
    <n v="0"/>
    <n v="0"/>
    <n v="0"/>
    <n v="15.000200398053632"/>
    <n v="52.484931169645051"/>
    <n v="31.153567334561025"/>
    <n v="0"/>
    <n v="0"/>
    <n v="0"/>
    <n v="0"/>
    <n v="0"/>
    <n v="1.3003636256528639"/>
    <m/>
    <n v="0.21975954178012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264741552830971"/>
    <n v="0"/>
    <n v="1.79"/>
    <n v="8.27"/>
    <n v="0"/>
    <n v="6"/>
    <m/>
    <m/>
    <m/>
    <m/>
    <m/>
    <n v="11.694079999999998"/>
    <m/>
    <m/>
    <m/>
    <n v="35.380041489844125"/>
    <m/>
    <m/>
    <m/>
    <m/>
    <m/>
    <m/>
    <m/>
    <m/>
    <m/>
    <m/>
    <m/>
    <m/>
    <n v="87.089600000000004"/>
    <n v="-7.6028000000000162"/>
    <m/>
    <m/>
    <m/>
    <m/>
    <n v="-11.210239999999999"/>
    <n v="1.082880000000001"/>
    <n v="30"/>
    <n v="1.9038493453891334"/>
    <n v="0"/>
    <n v="0"/>
    <n v="0"/>
    <n v="0"/>
    <n v="0"/>
    <n v="0"/>
    <n v="0"/>
    <n v="0.56236678662003214"/>
    <n v="0"/>
    <n v="0"/>
    <n v="1.4271420146076181"/>
    <n v="0"/>
    <n v="0"/>
    <n v="0"/>
    <n v="0.19361438694585686"/>
    <n v="0"/>
    <n v="-2.3228445836889211E-2"/>
    <m/>
    <n v="0"/>
    <n v="0"/>
    <n v="0"/>
    <n v="0"/>
    <n v="-7.2936774411775929E-3"/>
    <n v="-1.2944572286288647E-2"/>
    <n v="0"/>
    <n v="-0.23580714722002044"/>
    <m/>
    <m/>
    <m/>
    <n v="52.484931169645051"/>
    <n v="0"/>
    <n v="0"/>
    <n v="-11.210239999999999"/>
    <n v="1.082880000000003"/>
    <n v="0"/>
    <n v="0"/>
    <n v="-12.030780377867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5"/>
    <s v="Regular"/>
    <s v="Branca"/>
    <s v="B2"/>
    <s v="Rural"/>
    <s v="Não se aplica"/>
    <s v="Não se aplica"/>
    <s v="Não se aplica"/>
    <s v="Intermediário"/>
    <s v="CATIVO"/>
    <x v="6"/>
    <n v="0"/>
    <n v="0"/>
    <n v="5.1999999999999998E-2"/>
    <n v="5.1999999999999998E-2"/>
    <n v="5.1999999999999998E-2"/>
    <n v="5.1999999999999998E-2"/>
    <m/>
    <n v="803.7"/>
    <n v="214.18"/>
    <m/>
    <n v="52.929760000000002"/>
    <n v="52.929760000000002"/>
    <n v="46.870199999999997"/>
    <n v="0"/>
    <n v="1.1386679288074428"/>
    <n v="0"/>
    <n v="0"/>
    <n v="0"/>
    <n v="8.5796701213855826"/>
    <n v="30.019563150976619"/>
    <n v="11.137400322105563"/>
    <n v="0"/>
    <n v="0"/>
    <n v="0"/>
    <n v="0"/>
    <n v="0"/>
    <n v="0.46487999617089837"/>
    <m/>
    <n v="7.856403618639368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109645105137075"/>
    <n v="0"/>
    <n v="0"/>
    <n v="0"/>
    <n v="0"/>
    <n v="0"/>
    <m/>
    <m/>
    <m/>
    <m/>
    <m/>
    <m/>
    <m/>
    <m/>
    <m/>
    <n v="12.64836483261927"/>
    <m/>
    <m/>
    <m/>
    <m/>
    <m/>
    <m/>
    <m/>
    <m/>
    <m/>
    <m/>
    <m/>
    <m/>
    <n v="45.067500000000003"/>
    <n v="-7.8922599999999932"/>
    <m/>
    <m/>
    <m/>
    <m/>
    <n v="-6.4469600000000007"/>
    <n v="0.38739999999999941"/>
    <n v="30"/>
    <n v="0.82166979631089632"/>
    <n v="0"/>
    <n v="0"/>
    <n v="0"/>
    <n v="0"/>
    <n v="0"/>
    <n v="0"/>
    <n v="0"/>
    <n v="0.3216571371305772"/>
    <n v="0"/>
    <n v="0"/>
    <n v="0.51020327022220435"/>
    <n v="0"/>
    <n v="0"/>
    <n v="0"/>
    <n v="6.9217143333145659E-2"/>
    <n v="0"/>
    <n v="-8.3041693866872102E-3"/>
    <m/>
    <n v="0"/>
    <n v="0"/>
    <n v="0"/>
    <n v="0"/>
    <n v="-2.6074896852186225E-3"/>
    <n v="-4.6276845923484827E-3"/>
    <n v="0"/>
    <n v="-6.3868410710775314E-2"/>
    <m/>
    <m/>
    <m/>
    <n v="30.019563150976619"/>
    <n v="0"/>
    <n v="0"/>
    <n v="-6.4469600000000042"/>
    <n v="0.38739999999999952"/>
    <n v="0"/>
    <n v="0"/>
    <n v="-6.8811897674318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6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18.533999999999999"/>
    <n v="18.533999999999999"/>
    <n v="18.533999999999999"/>
    <n v="18.533999999999999"/>
    <m/>
    <n v="597.01"/>
    <n v="243.39"/>
    <m/>
    <n v="15575.973599999998"/>
    <n v="15575.973599999998"/>
    <n v="14109.56352"/>
    <n v="0"/>
    <n v="461.19037133997227"/>
    <n v="0"/>
    <n v="0"/>
    <n v="0"/>
    <n v="2171.982142011922"/>
    <n v="7599.6540179546982"/>
    <n v="4510.939195146515"/>
    <n v="0"/>
    <n v="0"/>
    <n v="0"/>
    <n v="0"/>
    <n v="0"/>
    <n v="188.28858935820452"/>
    <m/>
    <n v="31.820494901193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1.98024995325716"/>
    <n v="0"/>
    <n v="27.47"/>
    <n v="126.78"/>
    <n v="1645.85"/>
    <n v="30"/>
    <m/>
    <m/>
    <m/>
    <m/>
    <m/>
    <m/>
    <m/>
    <m/>
    <m/>
    <n v="5122.919445099772"/>
    <m/>
    <m/>
    <m/>
    <m/>
    <m/>
    <m/>
    <m/>
    <m/>
    <m/>
    <m/>
    <m/>
    <m/>
    <n v="14106.518400000001"/>
    <n v="-1469.4851999999973"/>
    <m/>
    <m/>
    <m/>
    <m/>
    <n v="-1623.2077199999997"/>
    <n v="156.79764000000014"/>
    <n v="30"/>
    <n v="275.67143568314259"/>
    <n v="0"/>
    <n v="0"/>
    <n v="0"/>
    <n v="0"/>
    <n v="0"/>
    <n v="0"/>
    <n v="0"/>
    <n v="81.428953306372478"/>
    <n v="0"/>
    <n v="0"/>
    <n v="206.6457038963872"/>
    <n v="0"/>
    <n v="0"/>
    <n v="0"/>
    <n v="28.034758184800808"/>
    <n v="0"/>
    <n v="-3.3634063682883379"/>
    <m/>
    <n v="0"/>
    <n v="0"/>
    <n v="0"/>
    <n v="0"/>
    <n v="-1.0561017007404985"/>
    <n v="-1.8743336152661989"/>
    <n v="0"/>
    <n v="-34.144138020123904"/>
    <m/>
    <m/>
    <m/>
    <n v="7599.6540179546982"/>
    <n v="0"/>
    <n v="0"/>
    <n v="-1623.2077199999985"/>
    <n v="156.79763999999977"/>
    <n v="0"/>
    <n v="0"/>
    <n v="-1742.0194025265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7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122.45399999999999"/>
    <n v="122.45399999999999"/>
    <n v="122.45399999999999"/>
    <n v="122.45399999999999"/>
    <m/>
    <n v="328.35"/>
    <n v="133.86000000000001"/>
    <m/>
    <n v="56599.463340000002"/>
    <n v="56599.463340000002"/>
    <n v="51271.489799999996"/>
    <n v="0"/>
    <n v="1675.8947422378212"/>
    <n v="0"/>
    <n v="0"/>
    <n v="0"/>
    <n v="7892.648412099943"/>
    <n v="27615.971631220698"/>
    <n v="16392.057921191295"/>
    <n v="0"/>
    <n v="0"/>
    <n v="0"/>
    <n v="0"/>
    <n v="0"/>
    <n v="684.2117193643179"/>
    <m/>
    <n v="115.63077508616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23.8419251255518"/>
    <n v="0"/>
    <n v="0"/>
    <n v="0"/>
    <n v="0"/>
    <n v="5"/>
    <m/>
    <m/>
    <m/>
    <m/>
    <m/>
    <m/>
    <m/>
    <m/>
    <m/>
    <n v="18615.899846316846"/>
    <m/>
    <m/>
    <m/>
    <m/>
    <m/>
    <m/>
    <m/>
    <m/>
    <m/>
    <m/>
    <m/>
    <m/>
    <n v="51269.815000000002"/>
    <n v="-5329.6783400000058"/>
    <m/>
    <m/>
    <m/>
    <m/>
    <n v="-5898.6091800000013"/>
    <n v="570.63563999999951"/>
    <n v="30"/>
    <n v="1001.7475176339831"/>
    <n v="0"/>
    <n v="0"/>
    <n v="0"/>
    <n v="0"/>
    <n v="0"/>
    <n v="0"/>
    <n v="0"/>
    <n v="295.90026850641152"/>
    <n v="0"/>
    <n v="0"/>
    <n v="750.91864485326005"/>
    <n v="0"/>
    <n v="0"/>
    <n v="0"/>
    <n v="101.87399122254783"/>
    <n v="0"/>
    <n v="-12.222100457664055"/>
    <m/>
    <n v="0"/>
    <n v="0"/>
    <n v="0"/>
    <n v="0"/>
    <n v="-3.8377108403105922"/>
    <n v="-6.8110395321084098"/>
    <n v="0"/>
    <n v="-124.07453611815859"/>
    <m/>
    <m/>
    <m/>
    <n v="27615.971631220698"/>
    <n v="0"/>
    <n v="0"/>
    <n v="-5898.6091800000067"/>
    <n v="570.63563999999678"/>
    <n v="0"/>
    <n v="0"/>
    <n v="-6330.230071994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8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66.826999999999998"/>
    <n v="62.81738"/>
    <n v="66.826999999999998"/>
    <n v="62.81738"/>
    <m/>
    <n v="597.01"/>
    <n v="243.39"/>
    <m/>
    <n v="56161.410799999998"/>
    <n v="56161.410799999998"/>
    <n v="50874.058560000005"/>
    <n v="0"/>
    <n v="1662.88814856676"/>
    <n v="0"/>
    <n v="0"/>
    <n v="0"/>
    <n v="7831.3936875057034"/>
    <n v="27401.644494327109"/>
    <n v="16264.839408333668"/>
    <n v="0"/>
    <n v="0"/>
    <n v="0"/>
    <n v="0"/>
    <n v="0"/>
    <n v="678.90156258987452"/>
    <m/>
    <n v="114.73336639484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6.5827216804964"/>
    <n v="0"/>
    <n v="0"/>
    <n v="0"/>
    <n v="0"/>
    <n v="9"/>
    <m/>
    <m/>
    <m/>
    <m/>
    <n v="3052.4435135999984"/>
    <m/>
    <m/>
    <m/>
    <m/>
    <n v="18471.422130014165"/>
    <m/>
    <m/>
    <m/>
    <m/>
    <m/>
    <m/>
    <m/>
    <m/>
    <m/>
    <m/>
    <m/>
    <m/>
    <n v="47823.609599999996"/>
    <n v="-4968.1465520000129"/>
    <m/>
    <m/>
    <m/>
    <m/>
    <n v="-5852.7086599999984"/>
    <n v="565.35642000000053"/>
    <n v="30"/>
    <n v="993.97297034623989"/>
    <n v="0"/>
    <n v="0"/>
    <n v="0"/>
    <n v="0"/>
    <n v="0"/>
    <n v="0"/>
    <n v="0"/>
    <n v="293.60379101138187"/>
    <n v="0"/>
    <n v="0"/>
    <n v="745.09077664205688"/>
    <n v="0"/>
    <n v="0"/>
    <n v="0"/>
    <n v="101.08334872211526"/>
    <n v="0"/>
    <n v="-12.12724492142047"/>
    <m/>
    <n v="0"/>
    <n v="0"/>
    <n v="0"/>
    <n v="0"/>
    <n v="-3.8079264246998719"/>
    <n v="-6.7581791576235162"/>
    <n v="0"/>
    <n v="-123.11159552556491"/>
    <m/>
    <m/>
    <m/>
    <n v="27401.644494327109"/>
    <n v="0"/>
    <n v="0"/>
    <n v="-5852.7086599999966"/>
    <n v="565.35642000000007"/>
    <n v="0"/>
    <n v="0"/>
    <n v="-6281.1012524355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199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3.4620000000000002"/>
    <n v="3.4620000000000002"/>
    <n v="3.4620000000000002"/>
    <n v="3.4620000000000002"/>
    <m/>
    <n v="597.01"/>
    <n v="243.39"/>
    <m/>
    <n v="2909.4648000000002"/>
    <n v="2909.4648000000002"/>
    <n v="2635.5513600000004"/>
    <n v="0"/>
    <n v="86.1465989845141"/>
    <n v="0"/>
    <n v="0"/>
    <n v="0"/>
    <n v="405.70854514110687"/>
    <n v="1419.5533727289937"/>
    <n v="842.60664150195521"/>
    <n v="0"/>
    <n v="0"/>
    <n v="0"/>
    <n v="0"/>
    <n v="0"/>
    <n v="35.170772437579807"/>
    <m/>
    <n v="5.9438088565842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.31291816867252"/>
    <n v="0"/>
    <n v="0"/>
    <n v="0"/>
    <n v="1042.3900000000001"/>
    <n v="3"/>
    <m/>
    <m/>
    <m/>
    <m/>
    <m/>
    <m/>
    <m/>
    <m/>
    <m/>
    <n v="956.91955967062768"/>
    <m/>
    <m/>
    <m/>
    <m/>
    <m/>
    <m/>
    <m/>
    <m/>
    <m/>
    <m/>
    <m/>
    <m/>
    <n v="2634.0288"/>
    <n v="-275.4660000000008"/>
    <m/>
    <m/>
    <m/>
    <m/>
    <n v="-303.20195999999999"/>
    <n v="29.28852000000003"/>
    <n v="30"/>
    <n v="51.493175263571402"/>
    <n v="0"/>
    <n v="0"/>
    <n v="0"/>
    <n v="0"/>
    <n v="0"/>
    <n v="0"/>
    <n v="0"/>
    <n v="15.210264181863636"/>
    <n v="0"/>
    <n v="0"/>
    <n v="38.599731676340411"/>
    <n v="0"/>
    <n v="0"/>
    <n v="0"/>
    <n v="5.2366641219262249"/>
    <n v="0"/>
    <n v="-0.62825687099461902"/>
    <m/>
    <n v="0"/>
    <n v="0"/>
    <n v="0"/>
    <n v="0"/>
    <n v="-0.19727118204185246"/>
    <n v="-0.35011022855571294"/>
    <n v="0"/>
    <n v="-6.3778464349664912"/>
    <m/>
    <m/>
    <m/>
    <n v="1419.5533727289937"/>
    <n v="0"/>
    <n v="0"/>
    <n v="-303.2019600000001"/>
    <n v="29.288520000000062"/>
    <n v="0"/>
    <n v="0"/>
    <n v="-325.39501303263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0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01"/>
    <s v="Regular"/>
    <s v="Convencional"/>
    <s v="B2"/>
    <s v="Rural"/>
    <s v="Agropecuária rural"/>
    <s v="IRRIG./AQUIC."/>
    <s v="Não se aplica"/>
    <s v="Não se aplica"/>
    <s v="CATIVO"/>
    <x v="6"/>
    <n v="0"/>
    <n v="0"/>
    <n v="8.7550000000000008"/>
    <n v="8.7550000000000008"/>
    <n v="8.7550000000000008"/>
    <n v="8.7550000000000008"/>
    <m/>
    <n v="597.01"/>
    <n v="243.39"/>
    <m/>
    <n v="7357.7020000000011"/>
    <n v="7357.7020000000011"/>
    <n v="6665.0064000000002"/>
    <n v="0"/>
    <n v="217.854845207805"/>
    <n v="0"/>
    <n v="0"/>
    <n v="0"/>
    <n v="1025.9902694137465"/>
    <n v="3589.8872842987694"/>
    <n v="2130.855328235014"/>
    <n v="0"/>
    <n v="0"/>
    <n v="0"/>
    <n v="0"/>
    <n v="0"/>
    <n v="88.942840176490819"/>
    <m/>
    <n v="15.031209283476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.08422835549624"/>
    <n v="0"/>
    <n v="0"/>
    <n v="0"/>
    <n v="0"/>
    <n v="0"/>
    <m/>
    <m/>
    <m/>
    <m/>
    <m/>
    <n v="799.85679999999991"/>
    <m/>
    <m/>
    <m/>
    <n v="2419.9395565905102"/>
    <m/>
    <m/>
    <m/>
    <m/>
    <m/>
    <m/>
    <m/>
    <m/>
    <m/>
    <m/>
    <m/>
    <m/>
    <n v="5868.4992000000002"/>
    <n v="-606.29105000000163"/>
    <m/>
    <m/>
    <m/>
    <m/>
    <n v="-766.76289999999995"/>
    <n v="74.067300000000074"/>
    <n v="30"/>
    <n v="130.22032046001414"/>
    <n v="0"/>
    <n v="0"/>
    <n v="0"/>
    <n v="0"/>
    <n v="0"/>
    <n v="0"/>
    <n v="0"/>
    <n v="38.46500950670611"/>
    <n v="0"/>
    <n v="0"/>
    <n v="97.614283889763101"/>
    <n v="0"/>
    <n v="0"/>
    <n v="0"/>
    <n v="13.242921544616991"/>
    <n v="0"/>
    <n v="-1.5887894007965997"/>
    <m/>
    <n v="0"/>
    <n v="0"/>
    <n v="0"/>
    <n v="0"/>
    <n v="-0.49887614060554597"/>
    <n v="-0.88538851848794486"/>
    <n v="0"/>
    <n v="-16.12884042118187"/>
    <m/>
    <m/>
    <m/>
    <n v="3589.8872842987694"/>
    <n v="0"/>
    <n v="0"/>
    <n v="-766.76290000000063"/>
    <n v="74.067300000000159"/>
    <n v="0"/>
    <n v="0"/>
    <n v="-822.88657975179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2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6.0309999999999997"/>
    <n v="1.6283700000000001"/>
    <n v="6.0309999999999997"/>
    <n v="1.6283700000000001"/>
    <m/>
    <n v="597.01"/>
    <n v="243.39"/>
    <m/>
    <n v="5068.4524000000001"/>
    <n v="5068.4524000000001"/>
    <n v="4591.2796799999996"/>
    <n v="0"/>
    <n v="150.07225259260673"/>
    <n v="0"/>
    <n v="0"/>
    <n v="0"/>
    <n v="706.76725469266762"/>
    <n v="2472.9423428447603"/>
    <n v="1467.8684733963869"/>
    <n v="0"/>
    <n v="0"/>
    <n v="0"/>
    <n v="0"/>
    <n v="0"/>
    <n v="61.269476768065793"/>
    <m/>
    <n v="10.354451534968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9.1395752383778"/>
    <n v="0"/>
    <n v="0"/>
    <n v="0"/>
    <n v="0"/>
    <n v="0"/>
    <m/>
    <m/>
    <m/>
    <m/>
    <m/>
    <m/>
    <n v="3500.4020495999994"/>
    <m/>
    <m/>
    <n v="1667.0080486347647"/>
    <m/>
    <m/>
    <m/>
    <m/>
    <m/>
    <m/>
    <m/>
    <m/>
    <m/>
    <m/>
    <m/>
    <m/>
    <n v="1091.9695999999999"/>
    <n v="-112.32143350000024"/>
    <m/>
    <m/>
    <m/>
    <m/>
    <n v="-528.19497999999987"/>
    <n v="51.022260000000045"/>
    <n v="30"/>
    <n v="89.704026578451703"/>
    <n v="0"/>
    <n v="0"/>
    <n v="0"/>
    <n v="0"/>
    <n v="0"/>
    <n v="0"/>
    <n v="0"/>
    <n v="26.497141328948487"/>
    <n v="0"/>
    <n v="0"/>
    <n v="67.242917891394882"/>
    <n v="0"/>
    <n v="0"/>
    <n v="0"/>
    <n v="9.1225653724254698"/>
    <n v="0"/>
    <n v="-1.0944590378303189"/>
    <m/>
    <n v="0"/>
    <n v="0"/>
    <n v="0"/>
    <n v="0"/>
    <n v="-0.34365756756048427"/>
    <n v="-0.60991183952036465"/>
    <n v="0"/>
    <n v="-11.110569569405806"/>
    <m/>
    <m/>
    <m/>
    <n v="2472.9423428447603"/>
    <n v="0"/>
    <n v="0"/>
    <n v="-528.19498000000021"/>
    <n v="51.022260000000188"/>
    <n v="0"/>
    <n v="0"/>
    <n v="-566.85653483530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3"/>
    <s v="Regular"/>
    <s v="Convencional"/>
    <s v="B1"/>
    <s v="Residencial"/>
    <s v="Residencial"/>
    <s v="Não se aplica"/>
    <s v="Não se aplica"/>
    <s v="Não se aplica"/>
    <s v="CATIVO"/>
    <x v="7"/>
    <n v="0"/>
    <n v="0"/>
    <n v="219.06200000000001"/>
    <n v="219.06200000000001"/>
    <n v="219.06200000000001"/>
    <n v="219.06200000000001"/>
    <m/>
    <n v="597.01"/>
    <n v="243.39"/>
    <m/>
    <n v="184099.70480000001"/>
    <n v="184099.70480000001"/>
    <n v="166767.51936000001"/>
    <n v="0"/>
    <n v="5451.0243404811172"/>
    <n v="0"/>
    <n v="0"/>
    <n v="0"/>
    <n v="25671.671090612694"/>
    <n v="89823.859311599881"/>
    <n v="53316.896620653184"/>
    <n v="0"/>
    <n v="0"/>
    <n v="0"/>
    <n v="0"/>
    <n v="0"/>
    <n v="2225.4707543966224"/>
    <m/>
    <n v="376.10128704247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33.2803234736402"/>
    <n v="0"/>
    <n v="50.85"/>
    <n v="235.48"/>
    <n v="1755.97"/>
    <n v="1995"/>
    <m/>
    <m/>
    <m/>
    <m/>
    <m/>
    <m/>
    <m/>
    <m/>
    <m/>
    <n v="60550.176944126826"/>
    <m/>
    <m/>
    <m/>
    <m/>
    <m/>
    <m/>
    <m/>
    <m/>
    <m/>
    <m/>
    <m/>
    <m/>
    <n v="166765.99680000002"/>
    <n v="-17333.737999999983"/>
    <m/>
    <m/>
    <m/>
    <m/>
    <n v="-19185.449959999998"/>
    <n v="1853.2645200000018"/>
    <m/>
    <n v="3258.2894164033787"/>
    <n v="0"/>
    <n v="0"/>
    <n v="0"/>
    <n v="0"/>
    <n v="0"/>
    <n v="0"/>
    <n v="0"/>
    <n v="962.44682039498002"/>
    <n v="0"/>
    <n v="0"/>
    <n v="2442.4420625310377"/>
    <n v="0"/>
    <n v="0"/>
    <n v="0"/>
    <n v="331.35589713385343"/>
    <n v="0"/>
    <n v="-39.753670327505461"/>
    <m/>
    <n v="0"/>
    <n v="0"/>
    <n v="0"/>
    <n v="0"/>
    <n v="-12.482559122025123"/>
    <n v="-22.153624173273101"/>
    <n v="0"/>
    <n v="-403.56551003368844"/>
    <m/>
    <m/>
    <m/>
    <n v="89823.859311599881"/>
    <n v="0"/>
    <n v="0"/>
    <n v="-19185.449959999998"/>
    <n v="1853.264519999997"/>
    <n v="0"/>
    <n v="0"/>
    <n v="-20589.740712003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4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3.6640000000000001"/>
    <n v="3.6640000000000001"/>
    <n v="3.6640000000000001"/>
    <n v="3.6640000000000001"/>
    <m/>
    <n v="597.01"/>
    <n v="243.39"/>
    <m/>
    <n v="3079.2256000000002"/>
    <n v="3079.2256000000002"/>
    <n v="2789.3299200000001"/>
    <n v="0"/>
    <n v="91.173061432484019"/>
    <n v="0"/>
    <n v="0"/>
    <n v="0"/>
    <n v="429.38073639428524"/>
    <n v="1502.3811547310897"/>
    <n v="891.77086495180936"/>
    <n v="0"/>
    <n v="0"/>
    <n v="0"/>
    <n v="0"/>
    <n v="0"/>
    <n v="37.222908784313233"/>
    <m/>
    <n v="6.2906168834559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.98282269497867"/>
    <n v="0"/>
    <n v="0"/>
    <n v="0"/>
    <n v="0"/>
    <n v="14"/>
    <m/>
    <m/>
    <m/>
    <m/>
    <m/>
    <m/>
    <m/>
    <m/>
    <m/>
    <n v="1012.753687646788"/>
    <m/>
    <m/>
    <m/>
    <m/>
    <m/>
    <m/>
    <m/>
    <m/>
    <m/>
    <m/>
    <m/>
    <m/>
    <n v="2786.2848000000004"/>
    <n v="-292.97080000000051"/>
    <m/>
    <m/>
    <m/>
    <m/>
    <n v="-320.89311999999995"/>
    <n v="30.997440000000029"/>
    <m/>
    <n v="54.49768751176407"/>
    <n v="0"/>
    <n v="0"/>
    <n v="0"/>
    <n v="0"/>
    <n v="0"/>
    <n v="0"/>
    <n v="0"/>
    <n v="16.097749266998392"/>
    <n v="0"/>
    <n v="0"/>
    <n v="40.85194016814296"/>
    <n v="0"/>
    <n v="0"/>
    <n v="0"/>
    <n v="5.5422118263251434"/>
    <n v="0"/>
    <n v="-0.66491426208096982"/>
    <m/>
    <n v="0"/>
    <n v="0"/>
    <n v="0"/>
    <n v="0"/>
    <n v="-0.20878151675371015"/>
    <n v="-0.3705383816950123"/>
    <n v="0"/>
    <n v="-6.7499795891730869"/>
    <m/>
    <m/>
    <m/>
    <n v="1502.3811547310897"/>
    <n v="0"/>
    <n v="0"/>
    <n v="-320.89311999999995"/>
    <n v="30.997440000000097"/>
    <n v="0"/>
    <n v="0"/>
    <n v="-344.38108831645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5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64.77"/>
    <n v="64.77"/>
    <n v="64.77"/>
    <n v="64.77"/>
    <m/>
    <n v="561.96"/>
    <n v="243.39"/>
    <m/>
    <n v="52162.519499999995"/>
    <n v="52162.519499999995"/>
    <n v="47050.223399999995"/>
    <n v="0"/>
    <n v="0"/>
    <n v="0"/>
    <n v="0"/>
    <n v="0"/>
    <n v="7590.3357795463571"/>
    <n v="26558.195248889922"/>
    <n v="15764.191845777479"/>
    <n v="0"/>
    <n v="0"/>
    <n v="0"/>
    <n v="0"/>
    <n v="0"/>
    <n v="0"/>
    <m/>
    <n v="111.20176188358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8.6619612319237"/>
    <n v="0"/>
    <n v="0"/>
    <n v="0"/>
    <n v="0"/>
    <n v="151"/>
    <m/>
    <m/>
    <m/>
    <m/>
    <m/>
    <m/>
    <m/>
    <n v="30582.4509"/>
    <m/>
    <n v="17902.853807009404"/>
    <m/>
    <m/>
    <m/>
    <m/>
    <m/>
    <m/>
    <m/>
    <m/>
    <m/>
    <m/>
    <m/>
    <m/>
    <n v="16467.772499999999"/>
    <n v="-1789.6250999999975"/>
    <m/>
    <m/>
    <m/>
    <m/>
    <n v="-5660.2503000000024"/>
    <n v="547.95420000000047"/>
    <m/>
    <n v="975.61793413326814"/>
    <n v="0"/>
    <n v="0"/>
    <n v="0"/>
    <n v="0"/>
    <n v="0"/>
    <n v="0"/>
    <n v="0"/>
    <n v="284.56638101077715"/>
    <n v="0"/>
    <n v="0"/>
    <n v="722.15615848543348"/>
    <n v="0"/>
    <n v="0"/>
    <n v="0"/>
    <n v="97.971905019399401"/>
    <n v="0"/>
    <n v="0"/>
    <m/>
    <n v="0"/>
    <n v="0"/>
    <n v="0"/>
    <n v="0"/>
    <n v="0"/>
    <n v="-6.5501558358040199"/>
    <n v="0"/>
    <n v="-122.52635454653723"/>
    <m/>
    <m/>
    <m/>
    <n v="26558.195248889922"/>
    <n v="0"/>
    <n v="0"/>
    <n v="-5660.2503000000033"/>
    <n v="547.95420000000013"/>
    <n v="0"/>
    <n v="0"/>
    <n v="-6087.762852144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6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05.19199999999999"/>
    <n v="105.19199999999999"/>
    <n v="105.19199999999999"/>
    <n v="105.19199999999999"/>
    <m/>
    <n v="561.96"/>
    <n v="243.39"/>
    <m/>
    <n v="84716.377200000003"/>
    <n v="84716.377200000003"/>
    <n v="76413.572639999999"/>
    <n v="0"/>
    <n v="0"/>
    <n v="0"/>
    <n v="0"/>
    <n v="0"/>
    <n v="12327.35218962545"/>
    <n v="43132.772496853926"/>
    <n v="25602.391055133929"/>
    <n v="0"/>
    <n v="0"/>
    <n v="0"/>
    <n v="0"/>
    <n v="0"/>
    <n v="0"/>
    <m/>
    <n v="180.601138429176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3.3692917385902"/>
    <n v="0"/>
    <n v="0"/>
    <n v="0"/>
    <n v="0"/>
    <n v="1198"/>
    <m/>
    <m/>
    <m/>
    <m/>
    <m/>
    <m/>
    <m/>
    <n v="30565.639439999992"/>
    <m/>
    <n v="29075.760346872517"/>
    <m/>
    <m/>
    <m/>
    <m/>
    <m/>
    <m/>
    <m/>
    <m/>
    <m/>
    <m/>
    <m/>
    <m/>
    <n v="45847.061499999996"/>
    <n v="-4982.7948200000101"/>
    <m/>
    <m/>
    <m/>
    <m/>
    <n v="-9192.7288800000042"/>
    <n v="889.92432000000076"/>
    <m/>
    <n v="1584.486671720646"/>
    <n v="0"/>
    <n v="0"/>
    <n v="0"/>
    <n v="0"/>
    <n v="0"/>
    <n v="0"/>
    <n v="0"/>
    <n v="462.16005482917535"/>
    <n v="0"/>
    <n v="0"/>
    <n v="1172.8431468797207"/>
    <n v="0"/>
    <n v="0"/>
    <n v="0"/>
    <n v="159.11472337194164"/>
    <n v="0"/>
    <n v="0"/>
    <m/>
    <n v="0"/>
    <n v="0"/>
    <n v="0"/>
    <n v="0"/>
    <n v="0"/>
    <n v="-10.638011312025583"/>
    <n v="0"/>
    <n v="-198.99324204816031"/>
    <m/>
    <m/>
    <m/>
    <n v="43132.772496853926"/>
    <n v="0"/>
    <n v="0"/>
    <n v="-9192.7288800000097"/>
    <n v="889.9243200000019"/>
    <n v="0"/>
    <n v="0"/>
    <n v="-9887.0456992862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7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38.020000000000003"/>
    <n v="38.020000000000003"/>
    <n v="38.020000000000003"/>
    <n v="38.020000000000003"/>
    <m/>
    <n v="561.96"/>
    <n v="243.39"/>
    <m/>
    <n v="30619.407000000003"/>
    <n v="30619.407000000003"/>
    <n v="27618.488400000002"/>
    <n v="0"/>
    <n v="0"/>
    <n v="0"/>
    <n v="0"/>
    <n v="0"/>
    <n v="4455.528274484368"/>
    <n v="15589.664711483634"/>
    <n v="9253.5830473438291"/>
    <n v="0"/>
    <n v="0"/>
    <n v="0"/>
    <n v="0"/>
    <n v="0"/>
    <n v="0"/>
    <m/>
    <n v="65.275451394376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5.3949014364325"/>
    <n v="0"/>
    <n v="0"/>
    <n v="0"/>
    <n v="0"/>
    <n v="726"/>
    <m/>
    <m/>
    <m/>
    <m/>
    <m/>
    <m/>
    <m/>
    <n v="2761.7727999999997"/>
    <m/>
    <n v="10508.977948780263"/>
    <m/>
    <m/>
    <m/>
    <m/>
    <m/>
    <m/>
    <m/>
    <m/>
    <m/>
    <m/>
    <m/>
    <m/>
    <n v="24856.715600000003"/>
    <n v="-2700.9707999999919"/>
    <m/>
    <m/>
    <m/>
    <m/>
    <n v="-3322.5678000000021"/>
    <n v="321.64920000000035"/>
    <m/>
    <n v="572.68787796428478"/>
    <n v="0"/>
    <n v="0"/>
    <n v="0"/>
    <n v="0"/>
    <n v="0"/>
    <n v="0"/>
    <n v="0"/>
    <n v="167.04050958823154"/>
    <n v="0"/>
    <n v="0"/>
    <n v="423.90577652641878"/>
    <n v="0"/>
    <n v="0"/>
    <n v="0"/>
    <n v="57.509523372511467"/>
    <n v="0"/>
    <n v="0"/>
    <m/>
    <n v="0"/>
    <n v="0"/>
    <n v="0"/>
    <n v="0"/>
    <n v="0"/>
    <n v="-3.8449424869116697"/>
    <n v="0"/>
    <n v="-71.922989035963354"/>
    <m/>
    <m/>
    <m/>
    <n v="15589.664711483634"/>
    <n v="0"/>
    <n v="0"/>
    <n v="-3322.5678000000007"/>
    <n v="321.64920000000166"/>
    <n v="0"/>
    <n v="0"/>
    <n v="-3573.5177341134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8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8.0709999999999997"/>
    <n v="8.0709999999999997"/>
    <n v="8.0709999999999997"/>
    <n v="8.0709999999999997"/>
    <m/>
    <n v="561.96"/>
    <n v="243.39"/>
    <m/>
    <n v="6499.9798499999997"/>
    <n v="6499.9798499999997"/>
    <n v="5862.9358199999997"/>
    <n v="0"/>
    <n v="0"/>
    <n v="0"/>
    <n v="0"/>
    <n v="0"/>
    <n v="945.83294853664734"/>
    <n v="3309.4209333609783"/>
    <n v="1964.3784527909531"/>
    <n v="0"/>
    <n v="0"/>
    <n v="0"/>
    <n v="0"/>
    <n v="0"/>
    <n v="0"/>
    <m/>
    <n v="13.85686923208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6.49900708820218"/>
    <n v="0"/>
    <n v="52.79"/>
    <n v="243.05"/>
    <n v="1358.81"/>
    <n v="84"/>
    <m/>
    <m/>
    <m/>
    <m/>
    <m/>
    <m/>
    <m/>
    <m/>
    <m/>
    <n v="2230.8774598791551"/>
    <m/>
    <m/>
    <m/>
    <m/>
    <m/>
    <m/>
    <m/>
    <m/>
    <m/>
    <m/>
    <m/>
    <m/>
    <n v="5862.2093999999997"/>
    <n v="-637.80045000000064"/>
    <m/>
    <m/>
    <m/>
    <m/>
    <n v="-705.32469000000037"/>
    <n v="68.280660000000069"/>
    <m/>
    <n v="121.571905919247"/>
    <n v="0"/>
    <n v="0"/>
    <n v="0"/>
    <n v="0"/>
    <n v="0"/>
    <n v="0"/>
    <n v="0"/>
    <n v="35.459861990705349"/>
    <n v="0"/>
    <n v="0"/>
    <n v="89.987993749203952"/>
    <n v="0"/>
    <n v="0"/>
    <n v="0"/>
    <n v="12.208294664375046"/>
    <n v="0"/>
    <n v="0"/>
    <m/>
    <n v="0"/>
    <n v="0"/>
    <n v="0"/>
    <n v="0"/>
    <n v="0"/>
    <n v="-0.81621596033309096"/>
    <n v="0"/>
    <n v="-15.26802852470437"/>
    <m/>
    <m/>
    <m/>
    <n v="3309.4209333609783"/>
    <n v="0"/>
    <n v="0"/>
    <n v="-705.32469000000037"/>
    <n v="68.280660000000125"/>
    <n v="0"/>
    <n v="0"/>
    <n v="-758.59709710756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09"/>
    <s v="Regular"/>
    <s v="Branca"/>
    <s v="B1"/>
    <s v="Residencial"/>
    <s v="Residencial"/>
    <s v="Não se aplica"/>
    <s v="Não se aplica"/>
    <s v="Fora ponta"/>
    <s v="CATIVO"/>
    <x v="7"/>
    <n v="0"/>
    <n v="0"/>
    <n v="0.25600000000000001"/>
    <n v="0.25600000000000001"/>
    <n v="0.25600000000000001"/>
    <n v="0.25600000000000001"/>
    <m/>
    <n v="386.11"/>
    <n v="243.39"/>
    <m/>
    <n v="161.15199999999999"/>
    <n v="161.15199999999999"/>
    <n v="149.99552"/>
    <n v="0"/>
    <n v="6.3701702310905857"/>
    <n v="0"/>
    <n v="0"/>
    <n v="0"/>
    <n v="18.000003644470297"/>
    <n v="62.981927004810494"/>
    <n v="62.30713466912205"/>
    <n v="0"/>
    <n v="0"/>
    <n v="0"/>
    <n v="0"/>
    <n v="0"/>
    <n v="2.6007272513057278"/>
    <m/>
    <n v="0.43951908356024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4529483105661942"/>
    <n v="0"/>
    <n v="0"/>
    <n v="0"/>
    <n v="0"/>
    <n v="0"/>
    <m/>
    <m/>
    <m/>
    <m/>
    <m/>
    <m/>
    <m/>
    <m/>
    <m/>
    <n v="70.760082979688249"/>
    <m/>
    <m/>
    <m/>
    <m/>
    <m/>
    <m/>
    <m/>
    <m/>
    <m/>
    <m/>
    <m/>
    <m/>
    <n v="152.33920000000001"/>
    <n v="-8.8428000000000111"/>
    <m/>
    <m/>
    <m/>
    <m/>
    <n v="-13.322240000000006"/>
    <n v="2.1657600000000019"/>
    <m/>
    <n v="3.2815784848956469"/>
    <n v="0"/>
    <n v="0"/>
    <n v="0"/>
    <n v="0"/>
    <n v="0"/>
    <n v="0"/>
    <n v="0"/>
    <n v="0.67483126492111367"/>
    <n v="0"/>
    <n v="0"/>
    <n v="2.8542840292152363"/>
    <n v="0"/>
    <n v="0"/>
    <n v="0"/>
    <n v="0.38722877389171373"/>
    <n v="0"/>
    <n v="-4.6456891673778422E-2"/>
    <m/>
    <n v="0"/>
    <n v="0"/>
    <n v="0"/>
    <n v="0"/>
    <n v="-1.4587354882355186E-2"/>
    <n v="-2.5889144572577294E-2"/>
    <n v="0"/>
    <n v="-0.54783219200371092"/>
    <m/>
    <m/>
    <m/>
    <n v="62.981927004810494"/>
    <n v="0"/>
    <n v="0"/>
    <n v="-13.322240000000008"/>
    <n v="2.1657600000000059"/>
    <n v="0"/>
    <n v="0"/>
    <n v="-14.4369386542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10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11"/>
    <s v="Regular"/>
    <s v="Branca"/>
    <s v="B1"/>
    <s v="Residencial"/>
    <s v="Residencial"/>
    <s v="Não se aplica"/>
    <s v="Não se aplica"/>
    <s v="Intermediário"/>
    <s v="CATIVO"/>
    <x v="7"/>
    <n v="0"/>
    <n v="0"/>
    <n v="1E-3"/>
    <n v="1E-3"/>
    <n v="1E-3"/>
    <n v="1E-3"/>
    <m/>
    <n v="1018.79"/>
    <n v="243.39"/>
    <m/>
    <n v="1.2621800000000001"/>
    <n v="1.2621800000000001"/>
    <n v="1.1119699999999999"/>
    <n v="0"/>
    <n v="2.48834774651976E-2"/>
    <n v="0"/>
    <n v="0"/>
    <n v="0"/>
    <n v="0.21093950860917302"/>
    <n v="0.73806936332554907"/>
    <n v="0.24338724480125801"/>
    <n v="0"/>
    <n v="0"/>
    <n v="0"/>
    <n v="0"/>
    <n v="0"/>
    <n v="1.0159090825412999E-2"/>
    <m/>
    <n v="1.71687142015720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019329338149196E-2"/>
    <n v="0"/>
    <n v="0"/>
    <n v="0"/>
    <n v="0"/>
    <n v="0"/>
    <m/>
    <m/>
    <m/>
    <m/>
    <m/>
    <m/>
    <m/>
    <m/>
    <m/>
    <n v="0.27640657413940722"/>
    <m/>
    <m/>
    <m/>
    <m/>
    <m/>
    <m/>
    <m/>
    <m/>
    <m/>
    <m/>
    <m/>
    <m/>
    <n v="0"/>
    <n v="-1.2921800000000001"/>
    <m/>
    <m/>
    <m/>
    <m/>
    <n v="-0.15866999999999995"/>
    <n v="8.4600000000000074E-3"/>
    <m/>
    <n v="1.8984033781196508E-2"/>
    <n v="0"/>
    <n v="0"/>
    <n v="0"/>
    <n v="0"/>
    <n v="0"/>
    <n v="0"/>
    <n v="0"/>
    <n v="7.9082525886209898E-3"/>
    <n v="0"/>
    <n v="0"/>
    <n v="1.1149546989122017E-2"/>
    <n v="0"/>
    <n v="0"/>
    <n v="0"/>
    <n v="1.5126123980145068E-3"/>
    <n v="0"/>
    <n v="-1.8147223310069696E-4"/>
    <m/>
    <n v="0"/>
    <n v="0"/>
    <n v="0"/>
    <n v="0"/>
    <n v="-5.6981855009199944E-5"/>
    <n v="-1.0112947098663005E-4"/>
    <n v="0"/>
    <n v="-1.2467946354643498E-3"/>
    <m/>
    <m/>
    <m/>
    <n v="0.73806936332554907"/>
    <n v="0"/>
    <n v="0"/>
    <n v="-0.15867000000000009"/>
    <n v="8.4600000000000231E-3"/>
    <n v="0"/>
    <n v="0"/>
    <n v="-0.1691828533622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12"/>
    <s v="Regular"/>
    <s v="Convencional"/>
    <s v="B3"/>
    <s v="Industrial"/>
    <s v="Não se aplica"/>
    <s v="Não se aplica"/>
    <s v="Não se aplica"/>
    <s v="Não se aplica"/>
    <s v="CATIVO"/>
    <x v="7"/>
    <n v="0"/>
    <n v="0"/>
    <n v="0.44600000000000001"/>
    <n v="0.44600000000000001"/>
    <n v="0.44600000000000001"/>
    <n v="0.44600000000000001"/>
    <m/>
    <n v="597.01"/>
    <n v="243.39"/>
    <m/>
    <n v="374.8184"/>
    <n v="374.8184"/>
    <n v="339.53088000000002"/>
    <n v="0"/>
    <n v="11.09803094947813"/>
    <n v="0"/>
    <n v="0"/>
    <n v="0"/>
    <n v="52.266323261968125"/>
    <n v="182.87718204423197"/>
    <n v="108.55071118136107"/>
    <n v="0"/>
    <n v="0"/>
    <n v="0"/>
    <n v="0"/>
    <n v="0"/>
    <n v="4.5309545081341973"/>
    <m/>
    <n v="0.7657246533901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726620884814542"/>
    <n v="0"/>
    <n v="0"/>
    <n v="0"/>
    <n v="0"/>
    <n v="3"/>
    <m/>
    <m/>
    <m/>
    <m/>
    <m/>
    <m/>
    <m/>
    <m/>
    <m/>
    <n v="123.2773320661756"/>
    <m/>
    <m/>
    <m/>
    <m/>
    <m/>
    <m/>
    <m/>
    <m/>
    <m/>
    <m/>
    <m/>
    <m/>
    <n v="342.57600000000002"/>
    <n v="-32.272399999999948"/>
    <m/>
    <m/>
    <m/>
    <m/>
    <n v="-39.060679999999991"/>
    <n v="3.7731600000000034"/>
    <m/>
    <n v="6.6337250628402273"/>
    <n v="0"/>
    <n v="0"/>
    <n v="0"/>
    <n v="0"/>
    <n v="0"/>
    <n v="0"/>
    <n v="0"/>
    <n v="1.9594967721291709"/>
    <n v="0"/>
    <n v="0"/>
    <n v="4.9726979571484122"/>
    <n v="0"/>
    <n v="0"/>
    <n v="0"/>
    <n v="0.67462512951446918"/>
    <n v="0"/>
    <n v="-8.0936615962912128E-2"/>
    <m/>
    <n v="0"/>
    <n v="0"/>
    <n v="0"/>
    <n v="0"/>
    <n v="-2.5413907334102426E-2"/>
    <n v="-4.5103744060036921E-2"/>
    <n v="0"/>
    <n v="-0.82164052859475878"/>
    <m/>
    <m/>
    <m/>
    <n v="182.87718204423197"/>
    <n v="0"/>
    <n v="0"/>
    <n v="-39.060679999999991"/>
    <n v="3.7731600000000043"/>
    <n v="0"/>
    <n v="0"/>
    <n v="-41.919750379132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13"/>
    <s v="Regular"/>
    <s v="Verde"/>
    <s v="A4"/>
    <s v="Industrial"/>
    <s v="Não se aplica"/>
    <s v="Não se aplica"/>
    <s v="Não se aplica"/>
    <s v="Ponta"/>
    <s v="CATIVO"/>
    <x v="7"/>
    <n v="0"/>
    <n v="0"/>
    <n v="0.222"/>
    <n v="0.222"/>
    <n v="0.222"/>
    <n v="0.222"/>
    <m/>
    <n v="2773.91"/>
    <n v="243.39"/>
    <m/>
    <n v="669.84059999999999"/>
    <n v="669.84059999999999"/>
    <n v="576.61613999999997"/>
    <n v="0"/>
    <n v="4.805994837628262"/>
    <n v="0"/>
    <n v="0"/>
    <n v="0"/>
    <n v="159.9526692771106"/>
    <n v="445.27553425499394"/>
    <n v="54.031968345879278"/>
    <n v="0"/>
    <n v="0"/>
    <n v="0"/>
    <n v="0"/>
    <n v="0"/>
    <n v="2.2553181632416859"/>
    <m/>
    <n v="0.15399663172755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3653266227121477"/>
    <n v="0"/>
    <n v="0"/>
    <n v="0"/>
    <n v="0"/>
    <n v="0"/>
    <m/>
    <m/>
    <m/>
    <m/>
    <m/>
    <m/>
    <m/>
    <m/>
    <m/>
    <n v="57.397294968591424"/>
    <m/>
    <m/>
    <m/>
    <m/>
    <m/>
    <m/>
    <m/>
    <m/>
    <m/>
    <m/>
    <m/>
    <m/>
    <n v="571.42140000000006"/>
    <n v="-98.449199999999905"/>
    <m/>
    <m/>
    <m/>
    <m/>
    <n v="-95.102579999999975"/>
    <n v="1.8781200000000018"/>
    <m/>
    <n v="8.8426008246004244"/>
    <n v="0"/>
    <n v="0"/>
    <n v="0"/>
    <n v="0"/>
    <n v="0"/>
    <n v="0"/>
    <n v="0"/>
    <n v="5.9967244600499043"/>
    <n v="0"/>
    <n v="0"/>
    <n v="2.4751994315850823"/>
    <n v="0"/>
    <n v="0"/>
    <n v="0"/>
    <n v="0.15416529877855867"/>
    <n v="0"/>
    <n v="-3.5049547101067446E-2"/>
    <m/>
    <n v="0"/>
    <n v="0"/>
    <n v="0"/>
    <n v="0"/>
    <n v="-1.2649971812042526E-2"/>
    <n v="-9.0709168534616746E-3"/>
    <n v="0"/>
    <n v="0.27328206995347204"/>
    <m/>
    <m/>
    <m/>
    <n v="445.27553425499394"/>
    <n v="0"/>
    <n v="0"/>
    <n v="-95.102579999999989"/>
    <n v="1.8781200000000027"/>
    <n v="0"/>
    <n v="0"/>
    <n v="-102.06762285624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14"/>
    <s v="Regular"/>
    <s v="Verde"/>
    <s v="A4"/>
    <s v="Industrial"/>
    <s v="Não se aplica"/>
    <s v="Não se aplica"/>
    <s v="Não se aplica"/>
    <s v="Fora ponta"/>
    <s v="CATIVO"/>
    <x v="7"/>
    <n v="0"/>
    <n v="0"/>
    <n v="31.911000000000001"/>
    <n v="31.911000000000001"/>
    <n v="31.911000000000001"/>
    <n v="31.911000000000001"/>
    <m/>
    <n v="47.66"/>
    <n v="243.39"/>
    <m/>
    <n v="9287.6965500000006"/>
    <n v="9287.6965500000006"/>
    <n v="9573.93822"/>
    <n v="0"/>
    <n v="690.82928497097055"/>
    <n v="0"/>
    <n v="0"/>
    <n v="0"/>
    <n v="0"/>
    <n v="0"/>
    <n v="7766.7303688529437"/>
    <n v="0"/>
    <n v="0"/>
    <n v="0"/>
    <n v="0"/>
    <n v="0"/>
    <n v="324.18674732975421"/>
    <m/>
    <n v="22.1359752930538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3.74296332147452"/>
    <n v="0"/>
    <n v="0"/>
    <n v="0"/>
    <n v="0"/>
    <n v="0"/>
    <m/>
    <m/>
    <m/>
    <m/>
    <m/>
    <m/>
    <m/>
    <m/>
    <m/>
    <n v="8250.4733321744188"/>
    <m/>
    <m/>
    <m/>
    <m/>
    <m/>
    <m/>
    <m/>
    <m/>
    <m/>
    <m/>
    <m/>
    <m/>
    <n v="9573.6381999999994"/>
    <n v="285.91164999999819"/>
    <m/>
    <m/>
    <m/>
    <m/>
    <n v="16.274610000000163"/>
    <n v="269.96706000000029"/>
    <m/>
    <n v="286.25703827906182"/>
    <n v="0"/>
    <n v="0"/>
    <n v="0"/>
    <n v="0"/>
    <n v="0"/>
    <n v="0"/>
    <n v="0"/>
    <n v="0"/>
    <n v="0"/>
    <n v="0"/>
    <n v="355.79319396987285"/>
    <n v="0"/>
    <n v="0"/>
    <n v="0"/>
    <n v="22.160220041993625"/>
    <n v="0"/>
    <n v="-5.0381355745141718"/>
    <m/>
    <n v="0"/>
    <n v="0"/>
    <n v="0"/>
    <n v="0"/>
    <n v="-1.8183479751985487"/>
    <n v="-1.303883007706375"/>
    <n v="0"/>
    <n v="-83.536009175387832"/>
    <m/>
    <m/>
    <m/>
    <n v="0"/>
    <n v="0"/>
    <n v="0"/>
    <n v="16.274610000000166"/>
    <n v="269.9670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15"/>
    <s v="Regular"/>
    <s v="Verde"/>
    <s v="A4"/>
    <s v="Industrial"/>
    <s v="Não se aplica"/>
    <s v="Não se aplica"/>
    <s v="Não se aplica"/>
    <s v="Não se aplica"/>
    <s v="CATIVO"/>
    <x v="7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m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216"/>
    <s v="Regular"/>
    <s v="Convencional"/>
    <s v="B3"/>
    <s v="Comercial"/>
    <s v="Não se aplica"/>
    <s v="Não se aplica"/>
    <s v="Não se aplica"/>
    <s v="Não se aplica"/>
    <s v="CATIVO"/>
    <x v="7"/>
    <n v="0"/>
    <n v="0"/>
    <n v="66.42"/>
    <n v="66.42"/>
    <n v="66.42"/>
    <n v="66.42"/>
    <m/>
    <n v="597.01"/>
    <n v="243.39"/>
    <m/>
    <n v="55819.367999999995"/>
    <n v="55819.367999999995"/>
    <n v="50564.217600000004"/>
    <n v="0"/>
    <n v="1652.7605732384247"/>
    <n v="0"/>
    <n v="0"/>
    <n v="0"/>
    <n v="7783.6977378025176"/>
    <n v="27234.758814748628"/>
    <n v="16165.780799699556"/>
    <n v="0"/>
    <n v="0"/>
    <n v="0"/>
    <n v="0"/>
    <n v="0"/>
    <n v="674.7668126239314"/>
    <m/>
    <n v="114.03459972684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3.1438546398699"/>
    <n v="0"/>
    <n v="86.34"/>
    <n v="398.79"/>
    <n v="4893.37"/>
    <n v="210"/>
    <m/>
    <m/>
    <m/>
    <m/>
    <m/>
    <m/>
    <m/>
    <m/>
    <m/>
    <n v="18358.924654339426"/>
    <m/>
    <m/>
    <m/>
    <m/>
    <m/>
    <m/>
    <m/>
    <m/>
    <m/>
    <m/>
    <m/>
    <m/>
    <n v="50564.217600000004"/>
    <n v="-5255.1803999999975"/>
    <m/>
    <m/>
    <m/>
    <m/>
    <n v="-5817.0635999999995"/>
    <n v="561.91320000000053"/>
    <m/>
    <n v="987.91932438082949"/>
    <n v="0"/>
    <n v="0"/>
    <n v="0"/>
    <n v="0"/>
    <n v="0"/>
    <n v="0"/>
    <n v="0"/>
    <n v="291.81564036955115"/>
    <n v="0"/>
    <n v="0"/>
    <n v="740.5529110174848"/>
    <n v="0"/>
    <n v="0"/>
    <n v="0"/>
    <n v="100.46771547612343"/>
    <n v="0"/>
    <n v="-12.053385722548455"/>
    <m/>
    <n v="0"/>
    <n v="0"/>
    <n v="0"/>
    <n v="0"/>
    <n v="-3.7847348097110398"/>
    <n v="-6.7170194629319582"/>
    <n v="0"/>
    <n v="-122.36180248713876"/>
    <m/>
    <m/>
    <m/>
    <n v="27234.758814748628"/>
    <n v="0"/>
    <n v="0"/>
    <n v="-5817.063599999994"/>
    <n v="561.91320000000087"/>
    <n v="0"/>
    <n v="0"/>
    <n v="-6242.8471304528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17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5.5060000000000002"/>
    <n v="5.5060000000000002"/>
    <n v="5.5060000000000002"/>
    <n v="5.5060000000000002"/>
    <m/>
    <n v="597.01"/>
    <n v="243.39"/>
    <m/>
    <n v="4627.2424000000001"/>
    <n v="4627.2424000000001"/>
    <n v="4191.6076800000001"/>
    <n v="0"/>
    <n v="137.00842692337798"/>
    <n v="0"/>
    <n v="0"/>
    <n v="0"/>
    <n v="645.24299524752576"/>
    <n v="2257.6721173442629"/>
    <n v="1340.0901698757266"/>
    <n v="0"/>
    <n v="0"/>
    <n v="0"/>
    <n v="0"/>
    <n v="0"/>
    <n v="55.935954084723974"/>
    <m/>
    <n v="9.45309403938554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80442733584948"/>
    <n v="0"/>
    <n v="0"/>
    <n v="0"/>
    <n v="0"/>
    <n v="6"/>
    <m/>
    <m/>
    <m/>
    <m/>
    <m/>
    <m/>
    <m/>
    <m/>
    <m/>
    <n v="1521.8945972115762"/>
    <m/>
    <m/>
    <m/>
    <m/>
    <m/>
    <m/>
    <m/>
    <m/>
    <m/>
    <m/>
    <m/>
    <m/>
    <n v="4194.6527999999998"/>
    <n v="-432.6196000000009"/>
    <m/>
    <m/>
    <m/>
    <m/>
    <n v="-482.21547999999996"/>
    <n v="46.580760000000048"/>
    <m/>
    <n v="81.895269497754271"/>
    <n v="0"/>
    <n v="0"/>
    <n v="0"/>
    <n v="0"/>
    <n v="0"/>
    <n v="0"/>
    <n v="0"/>
    <n v="24.190558805702381"/>
    <n v="0"/>
    <n v="0"/>
    <n v="61.389405722105721"/>
    <n v="0"/>
    <n v="0"/>
    <n v="0"/>
    <n v="8.3284438634678679"/>
    <n v="0"/>
    <n v="-0.99918611545243152"/>
    <m/>
    <n v="0"/>
    <n v="0"/>
    <n v="0"/>
    <n v="0"/>
    <n v="-0.31374209368065209"/>
    <n v="-0.55681886725238527"/>
    <n v="0"/>
    <n v="-10.143391817136195"/>
    <m/>
    <m/>
    <m/>
    <n v="2257.6721173442629"/>
    <n v="0"/>
    <n v="0"/>
    <n v="-482.21547999999984"/>
    <n v="46.580760000000055"/>
    <n v="0"/>
    <n v="0"/>
    <n v="-517.51153719170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18"/>
    <s v="Regular"/>
    <s v="Branca"/>
    <s v="B3"/>
    <s v="Comercial"/>
    <s v="Não se aplica"/>
    <s v="Não se aplica"/>
    <s v="Não se aplica"/>
    <s v="Ponta"/>
    <s v="CATIVO"/>
    <x v="7"/>
    <n v="0"/>
    <n v="0"/>
    <n v="1.7000000000000001E-2"/>
    <n v="1.7000000000000001E-2"/>
    <n v="1.7000000000000001E-2"/>
    <n v="1.7000000000000001E-2"/>
    <m/>
    <n v="1783.27"/>
    <n v="243.39"/>
    <m/>
    <n v="34.453220000000002"/>
    <n v="34.453220000000002"/>
    <n v="29.709540000000001"/>
    <n v="0"/>
    <n v="0.42301911690835925"/>
    <n v="0"/>
    <n v="0"/>
    <n v="0"/>
    <n v="6.474699315267066"/>
    <n v="22.654637658390399"/>
    <n v="4.1375831616213858"/>
    <n v="0"/>
    <n v="0"/>
    <n v="0"/>
    <n v="0"/>
    <n v="0"/>
    <n v="0.17270454403202101"/>
    <m/>
    <n v="2.9186814142672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6132859874853647"/>
    <n v="0"/>
    <n v="0"/>
    <n v="0"/>
    <n v="0"/>
    <n v="0"/>
    <m/>
    <m/>
    <m/>
    <m/>
    <m/>
    <m/>
    <m/>
    <m/>
    <m/>
    <n v="4.6989117603699224"/>
    <m/>
    <m/>
    <m/>
    <m/>
    <m/>
    <m/>
    <m/>
    <m/>
    <m/>
    <m/>
    <m/>
    <m/>
    <n v="34.952400000000004"/>
    <n v="0.46918000000000148"/>
    <m/>
    <m/>
    <m/>
    <m/>
    <n v="-4.8875000000000002"/>
    <n v="0.14382000000000014"/>
    <m/>
    <n v="0.44937609481582008"/>
    <n v="0"/>
    <n v="0"/>
    <n v="0"/>
    <n v="0"/>
    <n v="0"/>
    <n v="0"/>
    <n v="0"/>
    <n v="0.24274048023582484"/>
    <n v="0"/>
    <n v="0"/>
    <n v="0.18954229881507434"/>
    <n v="0"/>
    <n v="0"/>
    <n v="0"/>
    <n v="2.5714410766246476E-2"/>
    <n v="0"/>
    <n v="-3.0850279627118726E-3"/>
    <m/>
    <n v="0"/>
    <n v="0"/>
    <n v="0"/>
    <n v="0"/>
    <n v="-9.6869153515641293E-4"/>
    <n v="-1.7192010067727075E-3"/>
    <n v="0"/>
    <n v="-2.8481744966845218E-3"/>
    <m/>
    <m/>
    <m/>
    <n v="22.654637658390399"/>
    <n v="0"/>
    <n v="0"/>
    <n v="-4.8874999999999993"/>
    <n v="0.14382000000000073"/>
    <n v="0"/>
    <n v="0"/>
    <n v="-5.192975662429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19"/>
    <s v="Regular"/>
    <s v="Branca"/>
    <s v="B3"/>
    <s v="Comercial"/>
    <s v="Não se aplica"/>
    <s v="Não se aplica"/>
    <s v="Não se aplica"/>
    <s v="Fora ponta"/>
    <s v="CATIVO"/>
    <x v="7"/>
    <n v="0"/>
    <n v="0"/>
    <n v="0.56599999999999995"/>
    <n v="0.56599999999999995"/>
    <n v="0.56599999999999995"/>
    <n v="0.56599999999999995"/>
    <m/>
    <n v="412.48"/>
    <n v="243.39"/>
    <m/>
    <n v="371.22241999999994"/>
    <n v="371.22241999999994"/>
    <n v="344.04309999999998"/>
    <n v="0"/>
    <n v="14.08404824530184"/>
    <n v="0"/>
    <n v="0"/>
    <n v="0"/>
    <n v="43.114560856773572"/>
    <n v="150.85329797318914"/>
    <n v="137.75718055751202"/>
    <n v="0"/>
    <n v="0"/>
    <n v="0"/>
    <n v="0"/>
    <n v="0"/>
    <n v="5.750045407183757"/>
    <m/>
    <n v="0.9717492238089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688940405392444"/>
    <n v="0"/>
    <n v="0"/>
    <n v="0"/>
    <n v="0"/>
    <n v="0"/>
    <m/>
    <m/>
    <m/>
    <m/>
    <m/>
    <m/>
    <m/>
    <m/>
    <m/>
    <n v="156.44612096290444"/>
    <m/>
    <m/>
    <m/>
    <m/>
    <m/>
    <m/>
    <m/>
    <m/>
    <m/>
    <m/>
    <m/>
    <m/>
    <n v="346.47449999999998"/>
    <n v="-24.777919999999938"/>
    <m/>
    <m/>
    <m/>
    <m/>
    <n v="-31.967680000000009"/>
    <n v="4.7883600000000044"/>
    <m/>
    <n v="7.4008126392327256"/>
    <n v="0"/>
    <n v="0"/>
    <n v="0"/>
    <n v="0"/>
    <n v="0"/>
    <n v="0"/>
    <n v="0"/>
    <n v="1.6163915415890884"/>
    <n v="0"/>
    <n v="0"/>
    <n v="6.3106435958430609"/>
    <n v="0"/>
    <n v="0"/>
    <n v="0"/>
    <n v="0.85613861727620844"/>
    <n v="0"/>
    <n v="-0.10271328393499601"/>
    <m/>
    <n v="0"/>
    <n v="0"/>
    <n v="0"/>
    <n v="0"/>
    <n v="-3.2251729935206974E-2"/>
    <n v="-5.7239280578432528E-2"/>
    <n v="0"/>
    <n v="-1.1901568210269964"/>
    <m/>
    <m/>
    <m/>
    <n v="150.85329797318914"/>
    <n v="0"/>
    <n v="0"/>
    <n v="-31.967680000000001"/>
    <n v="4.7883599999999831"/>
    <n v="0"/>
    <n v="0"/>
    <n v="-34.579123126336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0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21"/>
    <s v="Regular"/>
    <s v="Branca"/>
    <s v="B3"/>
    <s v="Comercial"/>
    <s v="Não se aplica"/>
    <s v="Não se aplica"/>
    <s v="Não se aplica"/>
    <s v="Intermediário"/>
    <s v="CATIVO"/>
    <x v="7"/>
    <n v="0"/>
    <n v="0"/>
    <n v="0.02"/>
    <n v="0.02"/>
    <n v="0.02"/>
    <n v="0.02"/>
    <m/>
    <n v="1097.8699999999999"/>
    <n v="243.39"/>
    <m/>
    <n v="26.825199999999999"/>
    <n v="26.825199999999999"/>
    <n v="23.554600000000001"/>
    <n v="0"/>
    <n v="0.49766954930395202"/>
    <n v="0"/>
    <n v="0"/>
    <n v="0"/>
    <n v="4.5704111421745806"/>
    <n v="15.991506309996321"/>
    <n v="4.8677448960251599"/>
    <n v="0"/>
    <n v="0"/>
    <n v="0"/>
    <n v="0"/>
    <n v="0"/>
    <n v="0.20318181650825998"/>
    <m/>
    <n v="3.43374284031440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6038658676298401"/>
    <n v="0"/>
    <n v="0"/>
    <n v="0"/>
    <n v="0"/>
    <n v="0"/>
    <m/>
    <m/>
    <m/>
    <m/>
    <m/>
    <m/>
    <m/>
    <m/>
    <m/>
    <n v="5.5281314827881438"/>
    <m/>
    <m/>
    <m/>
    <m/>
    <m/>
    <m/>
    <m/>
    <m/>
    <m/>
    <m/>
    <m/>
    <m/>
    <n v="23.554600000000001"/>
    <n v="-3.3006000000000029"/>
    <m/>
    <m/>
    <m/>
    <m/>
    <n v="-3.4397999999999982"/>
    <n v="0.16920000000000016"/>
    <m/>
    <n v="0.39509618080559328"/>
    <n v="0"/>
    <n v="0"/>
    <n v="0"/>
    <n v="0"/>
    <n v="0"/>
    <n v="0"/>
    <n v="0"/>
    <n v="0.17134753932289915"/>
    <n v="0"/>
    <n v="0"/>
    <n v="0.22299093978243967"/>
    <n v="0"/>
    <n v="0"/>
    <n v="0"/>
    <n v="3.0252247960290024E-2"/>
    <n v="0"/>
    <n v="-3.6294446620139809E-3"/>
    <m/>
    <n v="0"/>
    <n v="0"/>
    <n v="0"/>
    <n v="0"/>
    <n v="-1.1396371001839711E-3"/>
    <n v="-2.0225894197326011E-3"/>
    <n v="0"/>
    <n v="-2.2702875078107001E-2"/>
    <m/>
    <m/>
    <m/>
    <n v="15.991506309996321"/>
    <n v="0"/>
    <n v="0"/>
    <n v="-3.4397999999999982"/>
    <n v="0.16920000000000002"/>
    <n v="0"/>
    <n v="0"/>
    <n v="-3.6656292775728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2"/>
    <s v="Regular"/>
    <s v="Convencional"/>
    <s v="B2"/>
    <s v="Rural"/>
    <s v="Não se aplica"/>
    <s v="Não se aplica"/>
    <s v="Não se aplica"/>
    <s v="Não se aplica"/>
    <s v="CATIVO"/>
    <x v="7"/>
    <n v="0"/>
    <n v="0"/>
    <n v="212.27"/>
    <n v="212.27"/>
    <n v="212.27"/>
    <n v="212.27"/>
    <m/>
    <n v="597.01"/>
    <n v="243.39"/>
    <m/>
    <n v="178391.70800000001"/>
    <n v="178391.70800000001"/>
    <n v="161596.9056"/>
    <n v="0"/>
    <n v="5282.0157615374947"/>
    <n v="0"/>
    <n v="0"/>
    <n v="0"/>
    <n v="24875.722956990972"/>
    <n v="87038.877651410599"/>
    <n v="51663.810453963037"/>
    <n v="0"/>
    <n v="0"/>
    <n v="0"/>
    <n v="0"/>
    <n v="0"/>
    <n v="2156.4702095104176"/>
    <m/>
    <n v="364.44029635676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09.0130386089304"/>
    <n v="0"/>
    <n v="118.84"/>
    <n v="548.99"/>
    <n v="0"/>
    <n v="1736"/>
    <m/>
    <m/>
    <m/>
    <m/>
    <m/>
    <n v="19392.987199999996"/>
    <m/>
    <m/>
    <m/>
    <n v="58672.823492571966"/>
    <m/>
    <m/>
    <m/>
    <m/>
    <m/>
    <m/>
    <m/>
    <m/>
    <m/>
    <m/>
    <m/>
    <m/>
    <n v="142203.91840000002"/>
    <n v="-14780.39009999999"/>
    <m/>
    <m/>
    <m/>
    <m/>
    <n v="-18590.606599999999"/>
    <n v="1795.8042000000019"/>
    <m/>
    <n v="3157.2664105136791"/>
    <n v="0"/>
    <n v="0"/>
    <n v="0"/>
    <n v="0"/>
    <n v="0"/>
    <n v="0"/>
    <n v="0"/>
    <n v="932.60623277995546"/>
    <n v="0"/>
    <n v="0"/>
    <n v="2366.7143393809238"/>
    <n v="0"/>
    <n v="0"/>
    <n v="0"/>
    <n v="321.08223372653902"/>
    <n v="0"/>
    <n v="-38.521110920285537"/>
    <m/>
    <n v="0"/>
    <n v="0"/>
    <n v="0"/>
    <n v="0"/>
    <n v="-12.095538362802927"/>
    <n v="-21.466752806331954"/>
    <n v="0"/>
    <n v="-391.05299328432613"/>
    <m/>
    <m/>
    <m/>
    <n v="87038.877651410599"/>
    <n v="0"/>
    <n v="0"/>
    <n v="-18590.606599999999"/>
    <n v="1795.8042000000059"/>
    <n v="0"/>
    <n v="0"/>
    <n v="-19951.35742820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3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.88800000000000001"/>
    <n v="0.88800000000000001"/>
    <n v="0.88800000000000001"/>
    <n v="0.88800000000000001"/>
    <m/>
    <n v="597.01"/>
    <n v="243.39"/>
    <m/>
    <n v="746.27519999999993"/>
    <n v="746.27519999999993"/>
    <n v="676.01664000000005"/>
    <n v="0"/>
    <n v="22.09652798909547"/>
    <n v="0"/>
    <n v="0"/>
    <n v="0"/>
    <n v="104.06389026149708"/>
    <n v="364.11420998941259"/>
    <n v="216.12787338351711"/>
    <n v="0"/>
    <n v="0"/>
    <n v="0"/>
    <n v="0"/>
    <n v="0"/>
    <n v="9.0212726529667435"/>
    <m/>
    <n v="1.52458182109959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321164452276488"/>
    <n v="0"/>
    <n v="0"/>
    <n v="0"/>
    <n v="0"/>
    <n v="8"/>
    <m/>
    <m/>
    <m/>
    <m/>
    <m/>
    <n v="81.127679999999984"/>
    <m/>
    <m/>
    <m/>
    <n v="245.4490378357936"/>
    <m/>
    <m/>
    <m/>
    <m/>
    <m/>
    <m/>
    <m/>
    <m/>
    <m/>
    <m/>
    <m/>
    <m/>
    <n v="596.22880000000009"/>
    <n v="-60.521599999999921"/>
    <m/>
    <m/>
    <m/>
    <m/>
    <n v="-77.771039999999985"/>
    <n v="7.5124800000000072"/>
    <m/>
    <n v="13.207954833637018"/>
    <n v="0"/>
    <n v="0"/>
    <n v="0"/>
    <n v="0"/>
    <n v="0"/>
    <n v="0"/>
    <n v="0"/>
    <n v="3.901419582176473"/>
    <n v="0"/>
    <n v="0"/>
    <n v="9.9007977263403291"/>
    <n v="0"/>
    <n v="0"/>
    <n v="0"/>
    <n v="1.3431998094368787"/>
    <n v="0"/>
    <n v="-0.16114734299342004"/>
    <m/>
    <n v="0"/>
    <n v="0"/>
    <n v="0"/>
    <n v="0"/>
    <n v="-5.0599887248170106E-2"/>
    <n v="-8.9802970236127377E-2"/>
    <n v="0"/>
    <n v="-1.6359120838388921"/>
    <m/>
    <m/>
    <m/>
    <n v="364.11420998941259"/>
    <n v="0"/>
    <n v="0"/>
    <n v="-77.771039999999914"/>
    <n v="7.5124800000000107"/>
    <n v="0"/>
    <n v="0"/>
    <n v="-83.46353887145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4"/>
    <s v="Regular"/>
    <s v="Branca"/>
    <s v="B2"/>
    <s v="Rural"/>
    <s v="Não se aplica"/>
    <s v="Não se aplica"/>
    <s v="Não se aplica"/>
    <s v="Ponta"/>
    <s v="CATIVO"/>
    <x v="7"/>
    <n v="0"/>
    <n v="0"/>
    <n v="2.7E-2"/>
    <n v="2.7E-2"/>
    <n v="2.7E-2"/>
    <n v="2.7E-2"/>
    <m/>
    <n v="1298.56"/>
    <n v="214.18"/>
    <m/>
    <n v="40.843979999999995"/>
    <n v="40.843979999999995"/>
    <n v="35.445869999999999"/>
    <n v="0"/>
    <n v="0.5912314245730953"/>
    <n v="0"/>
    <n v="0"/>
    <n v="0"/>
    <n v="7.4246815565008832"/>
    <n v="25.978477022569681"/>
    <n v="5.7828809364778886"/>
    <n v="0"/>
    <n v="0"/>
    <n v="0"/>
    <n v="0"/>
    <n v="0"/>
    <n v="0.24137999801181262"/>
    <m/>
    <n v="4.079286494293517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453926507442506"/>
    <n v="0"/>
    <n v="0"/>
    <n v="0"/>
    <n v="0"/>
    <n v="0"/>
    <m/>
    <m/>
    <m/>
    <m/>
    <m/>
    <m/>
    <m/>
    <m/>
    <m/>
    <n v="6.5674202015523138"/>
    <m/>
    <m/>
    <m/>
    <m/>
    <m/>
    <m/>
    <m/>
    <m/>
    <m/>
    <m/>
    <m/>
    <m/>
    <n v="39.384299999999996"/>
    <n v="-1.4896799999999928"/>
    <m/>
    <m/>
    <m/>
    <m/>
    <n v="-5.5992599999999966"/>
    <n v="0.20114999999999969"/>
    <m/>
    <n v="0.55684057031876044"/>
    <n v="0"/>
    <n v="0"/>
    <n v="0"/>
    <n v="0"/>
    <n v="0"/>
    <n v="0"/>
    <n v="0"/>
    <n v="0.27835590177501235"/>
    <n v="0"/>
    <n v="0"/>
    <n v="0.26491323646152942"/>
    <n v="0"/>
    <n v="0"/>
    <n v="0"/>
    <n v="3.5939670576825677E-2"/>
    <n v="0"/>
    <n v="-4.3117802584722309E-3"/>
    <m/>
    <n v="0"/>
    <n v="0"/>
    <n v="0"/>
    <n v="0"/>
    <n v="-1.3538888750173617E-3"/>
    <n v="-2.4028362306424758E-3"/>
    <n v="0"/>
    <n v="-1.4299733130475868E-2"/>
    <m/>
    <m/>
    <m/>
    <n v="25.978477022569681"/>
    <n v="0"/>
    <n v="0"/>
    <n v="-5.5992599999999939"/>
    <n v="0.20114999999999927"/>
    <n v="0"/>
    <n v="0"/>
    <n v="-5.9548778029220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5"/>
    <s v="Regular"/>
    <s v="Branca"/>
    <s v="B2"/>
    <s v="Rural"/>
    <s v="Não se aplica"/>
    <s v="Não se aplica"/>
    <s v="Não se aplica"/>
    <s v="Fora ponta"/>
    <s v="CATIVO"/>
    <x v="7"/>
    <n v="0"/>
    <n v="0"/>
    <n v="2.347"/>
    <n v="2.347"/>
    <n v="2.347"/>
    <n v="2.347"/>
    <m/>
    <n v="308.83999999999997"/>
    <n v="214.18"/>
    <m/>
    <n v="1227.5279399999999"/>
    <n v="1227.5279399999999"/>
    <n v="1149.7718300000001"/>
    <n v="0"/>
    <n v="51.393339017520546"/>
    <n v="0"/>
    <n v="0"/>
    <n v="0"/>
    <n v="129.08314194796867"/>
    <n v="451.64086624937926"/>
    <n v="502.68227992272608"/>
    <n v="0"/>
    <n v="0"/>
    <n v="0"/>
    <n v="0"/>
    <n v="0"/>
    <n v="20.982179827174971"/>
    <m/>
    <n v="3.54595755633588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196802041839831"/>
    <n v="0"/>
    <n v="0"/>
    <n v="0"/>
    <n v="0"/>
    <n v="0"/>
    <m/>
    <m/>
    <m/>
    <m/>
    <m/>
    <m/>
    <m/>
    <m/>
    <m/>
    <n v="570.8790819645659"/>
    <m/>
    <m/>
    <m/>
    <m/>
    <m/>
    <m/>
    <m/>
    <m/>
    <m/>
    <m/>
    <m/>
    <m/>
    <n v="1151.2415000000001"/>
    <n v="-76.31643999999983"/>
    <m/>
    <m/>
    <m/>
    <m/>
    <n v="-95.241259999999968"/>
    <n v="17.485149999999972"/>
    <m/>
    <n v="25.767629223017821"/>
    <n v="0"/>
    <n v="0"/>
    <n v="0"/>
    <n v="0"/>
    <n v="0"/>
    <n v="0"/>
    <n v="0"/>
    <n v="4.8394067957592313"/>
    <n v="0"/>
    <n v="0"/>
    <n v="23.027828369452266"/>
    <n v="0"/>
    <n v="0"/>
    <n v="0"/>
    <n v="3.1240891423633315"/>
    <n v="0"/>
    <n v="-0.37480549135683106"/>
    <m/>
    <n v="0"/>
    <n v="0"/>
    <n v="0"/>
    <n v="0"/>
    <n v="-0.11768804406169409"/>
    <n v="-0.20886876419695932"/>
    <n v="0"/>
    <n v="-4.5223327849417361"/>
    <m/>
    <m/>
    <m/>
    <n v="451.64086624937926"/>
    <n v="0"/>
    <n v="0"/>
    <n v="-95.241259999999897"/>
    <n v="17.485150000000033"/>
    <n v="0"/>
    <n v="0"/>
    <n v="-103.52670662658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6"/>
    <s v="Regular"/>
    <s v="Branca"/>
    <s v="B2"/>
    <s v="Rural"/>
    <s v="Não se aplica"/>
    <s v="Não se aplica"/>
    <s v="Não se aplica"/>
    <s v="Não se aplica"/>
    <s v="CATIVO"/>
    <x v="7"/>
    <n v="0"/>
    <n v="0"/>
    <n v="5.7000000000000002E-2"/>
    <n v="5.7000000000000002E-2"/>
    <n v="5.7000000000000002E-2"/>
    <n v="5.7000000000000002E-2"/>
    <m/>
    <n v="597.01"/>
    <n v="243.39"/>
    <m/>
    <n v="47.902799999999999"/>
    <n v="47.902799999999999"/>
    <n v="43.392960000000002"/>
    <n v="0"/>
    <n v="1.4183582155162633"/>
    <n v="0"/>
    <n v="0"/>
    <n v="0"/>
    <n v="6.6797767397582586"/>
    <n v="23.372195911482564"/>
    <n v="13.873072953671706"/>
    <n v="0"/>
    <n v="0"/>
    <n v="0"/>
    <n v="0"/>
    <n v="0"/>
    <n v="0.57906817704854097"/>
    <m/>
    <n v="9.78616709489603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821017722745044"/>
    <n v="0"/>
    <n v="1.99"/>
    <n v="9.19"/>
    <n v="0"/>
    <n v="7"/>
    <m/>
    <m/>
    <m/>
    <m/>
    <m/>
    <n v="5.2075199999999988"/>
    <m/>
    <m/>
    <m/>
    <n v="15.75517472594621"/>
    <m/>
    <m/>
    <m/>
    <m/>
    <m/>
    <m/>
    <m/>
    <m/>
    <m/>
    <m/>
    <m/>
    <m/>
    <n v="40.1952"/>
    <n v="-1.9891500000000022"/>
    <m/>
    <m/>
    <m/>
    <m/>
    <n v="-4.9920599999999995"/>
    <n v="0.48222000000000048"/>
    <m/>
    <n v="0.84780791161858815"/>
    <n v="0"/>
    <n v="0"/>
    <n v="0"/>
    <n v="0"/>
    <n v="0"/>
    <n v="0"/>
    <n v="0"/>
    <n v="0.25042895966673306"/>
    <n v="0"/>
    <n v="0"/>
    <n v="0.63552417837995456"/>
    <n v="0"/>
    <n v="0"/>
    <n v="0"/>
    <n v="8.6218906686826635E-2"/>
    <n v="0"/>
    <n v="-1.034391728673989E-2"/>
    <m/>
    <n v="0"/>
    <n v="0"/>
    <n v="0"/>
    <n v="0"/>
    <n v="-3.2479657355243274E-3"/>
    <n v="-5.7643798462378992E-3"/>
    <n v="0"/>
    <n v="-0.10500787024641536"/>
    <m/>
    <m/>
    <m/>
    <n v="23.372195911482564"/>
    <n v="0"/>
    <n v="0"/>
    <n v="-4.9920599999999986"/>
    <n v="0.48221999999999987"/>
    <n v="0"/>
    <n v="0"/>
    <n v="-5.3574568870191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7"/>
    <s v="Regular"/>
    <s v="Branca"/>
    <s v="B2"/>
    <s v="Rural"/>
    <s v="Não se aplica"/>
    <s v="Não se aplica"/>
    <s v="Não se aplica"/>
    <s v="Intermediário"/>
    <s v="CATIVO"/>
    <x v="7"/>
    <n v="0"/>
    <n v="0"/>
    <n v="0.1"/>
    <n v="0.1"/>
    <n v="0.1"/>
    <n v="0.1"/>
    <m/>
    <n v="803.7"/>
    <n v="214.18"/>
    <m/>
    <n v="101.78800000000001"/>
    <n v="101.78800000000001"/>
    <n v="90.135000000000005"/>
    <n v="0"/>
    <n v="2.1897460169373901"/>
    <n v="0"/>
    <n v="0"/>
    <n v="0"/>
    <n v="16.4993656180492"/>
    <n v="57.729929136493503"/>
    <n v="21.418077542510702"/>
    <n v="0"/>
    <n v="0"/>
    <n v="0"/>
    <n v="0"/>
    <n v="0"/>
    <n v="0.89399999263634311"/>
    <m/>
    <n v="0.15108468497383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9057009817571302"/>
    <n v="0"/>
    <n v="0"/>
    <n v="0"/>
    <n v="0"/>
    <n v="0"/>
    <m/>
    <m/>
    <m/>
    <m/>
    <m/>
    <m/>
    <m/>
    <m/>
    <m/>
    <n v="24.32377852426783"/>
    <m/>
    <m/>
    <m/>
    <m/>
    <m/>
    <m/>
    <m/>
    <m/>
    <m/>
    <m/>
    <m/>
    <m/>
    <n v="90.135000000000005"/>
    <n v="-11.683000000000021"/>
    <m/>
    <m/>
    <m/>
    <m/>
    <n v="-12.398000000000003"/>
    <n v="0.74499999999999889"/>
    <m/>
    <n v="1.5801342236747971"/>
    <n v="0"/>
    <n v="0"/>
    <n v="0"/>
    <n v="0"/>
    <n v="0"/>
    <n v="0"/>
    <n v="0"/>
    <n v="0.61857141755880107"/>
    <n v="0"/>
    <n v="0"/>
    <n v="0.98116013504269972"/>
    <n v="0"/>
    <n v="0"/>
    <n v="0"/>
    <n v="0.13310989102527993"/>
    <n v="0"/>
    <n v="-1.5969556512859917E-2"/>
    <m/>
    <n v="0"/>
    <n v="0"/>
    <n v="0"/>
    <n v="0"/>
    <n v="-5.0144032408050432E-3"/>
    <n v="-8.8993934468239999E-3"/>
    <n v="0"/>
    <n v="-0.122823866751491"/>
    <m/>
    <m/>
    <m/>
    <n v="57.729929136493503"/>
    <n v="0"/>
    <n v="0"/>
    <n v="-12.397999999999996"/>
    <n v="0.74499999999999744"/>
    <n v="0"/>
    <n v="0"/>
    <n v="-13.23305724506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8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19.696000000000002"/>
    <n v="19.696000000000002"/>
    <n v="19.696000000000002"/>
    <n v="19.696000000000002"/>
    <m/>
    <n v="597.01"/>
    <n v="243.39"/>
    <m/>
    <n v="16552.518400000001"/>
    <n v="16552.518400000001"/>
    <n v="14994.170880000001"/>
    <n v="0"/>
    <n v="490.10497215453199"/>
    <n v="0"/>
    <n v="0"/>
    <n v="0"/>
    <n v="2308.1558362505029"/>
    <n v="8076.1187837291336"/>
    <n v="4793.7551736055775"/>
    <n v="0"/>
    <n v="0"/>
    <n v="0"/>
    <n v="0"/>
    <n v="0"/>
    <n v="200.09345289733446"/>
    <m/>
    <n v="33.815499491416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0.34871064418667"/>
    <n v="0"/>
    <n v="28.63"/>
    <n v="132.16"/>
    <n v="1765.15"/>
    <n v="30"/>
    <m/>
    <m/>
    <m/>
    <m/>
    <m/>
    <m/>
    <m/>
    <m/>
    <m/>
    <n v="5444.1038842497637"/>
    <m/>
    <m/>
    <m/>
    <m/>
    <m/>
    <m/>
    <m/>
    <m/>
    <m/>
    <m/>
    <m/>
    <m/>
    <n v="14997.216"/>
    <n v="-1555.3323999999993"/>
    <m/>
    <m/>
    <m/>
    <m/>
    <n v="-1724.9756799999998"/>
    <n v="166.62816000000018"/>
    <m/>
    <n v="292.95481802175163"/>
    <n v="0"/>
    <n v="0"/>
    <n v="0"/>
    <n v="0"/>
    <n v="0"/>
    <n v="0"/>
    <n v="0"/>
    <n v="86.534189291157418"/>
    <n v="0"/>
    <n v="0"/>
    <n v="219.60147749774751"/>
    <n v="0"/>
    <n v="0"/>
    <n v="0"/>
    <n v="29.792413791293711"/>
    <n v="0"/>
    <n v="-3.5742771031513598"/>
    <m/>
    <n v="0"/>
    <n v="0"/>
    <n v="0"/>
    <n v="0"/>
    <n v="-1.1223146162612068"/>
    <n v="-1.991846060552664"/>
    <n v="0"/>
    <n v="-36.284824778480655"/>
    <m/>
    <m/>
    <m/>
    <n v="8076.1187837291336"/>
    <n v="0"/>
    <n v="0"/>
    <n v="-1724.9756799999996"/>
    <n v="166.62816000000021"/>
    <n v="0"/>
    <n v="0"/>
    <n v="-1851.2363306443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29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128.922"/>
    <n v="128.922"/>
    <n v="128.922"/>
    <n v="128.922"/>
    <m/>
    <n v="328.35"/>
    <n v="133.86000000000001"/>
    <m/>
    <n v="59589.037620000003"/>
    <n v="59589.037620000003"/>
    <n v="53979.641400000008"/>
    <n v="0"/>
    <n v="1764.4152249725153"/>
    <n v="0"/>
    <n v="0"/>
    <n v="0"/>
    <n v="8309.5367941002241"/>
    <n v="29074.642679212073"/>
    <n v="17257.883705847293"/>
    <n v="0"/>
    <n v="0"/>
    <n v="0"/>
    <n v="0"/>
    <n v="0"/>
    <n v="720.3516690666421"/>
    <m/>
    <n v="121.73837347622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1.3048873130842"/>
    <n v="0"/>
    <n v="0"/>
    <n v="0"/>
    <n v="0"/>
    <n v="5"/>
    <m/>
    <m/>
    <m/>
    <m/>
    <m/>
    <m/>
    <m/>
    <m/>
    <m/>
    <n v="19599.188593160376"/>
    <m/>
    <m/>
    <m/>
    <m/>
    <m/>
    <m/>
    <m/>
    <m/>
    <m/>
    <m/>
    <m/>
    <m/>
    <n v="53978.804000000004"/>
    <n v="-5610.2636200000052"/>
    <m/>
    <m/>
    <m/>
    <m/>
    <n v="-6210.1727400000018"/>
    <n v="600.77651999999955"/>
    <m/>
    <n v="1054.6596556127806"/>
    <n v="0"/>
    <n v="0"/>
    <n v="0"/>
    <n v="0"/>
    <n v="0"/>
    <n v="0"/>
    <n v="0"/>
    <n v="311.52967168392752"/>
    <n v="0"/>
    <n v="0"/>
    <n v="790.58204331236266"/>
    <n v="0"/>
    <n v="0"/>
    <n v="0"/>
    <n v="107.2549585672441"/>
    <n v="0"/>
    <n v="-12.867669779696598"/>
    <m/>
    <n v="0"/>
    <n v="0"/>
    <n v="0"/>
    <n v="0"/>
    <n v="-4.0404180913202481"/>
    <n v="-7.170797512196259"/>
    <n v="0"/>
    <n v="-130.62813256753753"/>
    <m/>
    <m/>
    <m/>
    <n v="29074.642679212073"/>
    <n v="0"/>
    <n v="0"/>
    <n v="-6210.1727400000018"/>
    <n v="600.77651999999944"/>
    <n v="0"/>
    <n v="0"/>
    <n v="-6664.591776027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0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65.108999999999995"/>
    <n v="61.202460000000002"/>
    <n v="65.108999999999995"/>
    <n v="61.202460000000002"/>
    <m/>
    <n v="597.01"/>
    <n v="243.39"/>
    <m/>
    <n v="54717.603599999995"/>
    <n v="54717.603599999995"/>
    <n v="49566.179519999991"/>
    <n v="0"/>
    <n v="1620.1383342815504"/>
    <n v="0"/>
    <n v="0"/>
    <n v="0"/>
    <n v="7630.0628727880767"/>
    <n v="26697.198308784526"/>
    <n v="15846.700121765105"/>
    <n v="0"/>
    <n v="0"/>
    <n v="0"/>
    <n v="0"/>
    <n v="0"/>
    <n v="661.44824455181492"/>
    <m/>
    <n v="111.783781295015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9.8555138775559"/>
    <n v="0"/>
    <n v="0"/>
    <n v="0"/>
    <n v="0"/>
    <n v="9"/>
    <m/>
    <m/>
    <m/>
    <m/>
    <n v="2973.9707711999945"/>
    <m/>
    <m/>
    <m/>
    <m/>
    <n v="17996.55563564266"/>
    <m/>
    <m/>
    <m/>
    <m/>
    <m/>
    <m/>
    <m/>
    <m/>
    <m/>
    <m/>
    <m/>
    <m/>
    <n v="46590.336000000003"/>
    <n v="-4844.2413840000008"/>
    <m/>
    <m/>
    <m/>
    <m/>
    <n v="-5702.2462199999982"/>
    <n v="550.82214000000045"/>
    <m/>
    <n v="968.41974241360003"/>
    <n v="0"/>
    <n v="0"/>
    <n v="0"/>
    <n v="0"/>
    <n v="0"/>
    <n v="0"/>
    <n v="0"/>
    <n v="286.05577429721598"/>
    <n v="0"/>
    <n v="0"/>
    <n v="725.93585491474369"/>
    <n v="0"/>
    <n v="0"/>
    <n v="0"/>
    <n v="98.484680622326323"/>
    <n v="0"/>
    <n v="-11.815475624953478"/>
    <m/>
    <n v="0"/>
    <n v="0"/>
    <n v="0"/>
    <n v="0"/>
    <n v="-3.7100315977939999"/>
    <n v="-6.5844387264684769"/>
    <n v="0"/>
    <n v="-119.94662147147118"/>
    <m/>
    <m/>
    <m/>
    <n v="26697.198308784526"/>
    <n v="0"/>
    <n v="0"/>
    <n v="-5702.2462200000009"/>
    <n v="550.82214000000204"/>
    <n v="0"/>
    <n v="0"/>
    <n v="-6119.6256220513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1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4.07"/>
    <n v="4.07"/>
    <n v="4.07"/>
    <n v="4.07"/>
    <m/>
    <n v="597.01"/>
    <n v="243.39"/>
    <m/>
    <n v="3420.4279999999999"/>
    <n v="3420.4279999999999"/>
    <n v="3098.4096000000004"/>
    <n v="0"/>
    <n v="101.27575328335423"/>
    <n v="0"/>
    <n v="0"/>
    <n v="0"/>
    <n v="476.95949703186159"/>
    <n v="1668.8567957848077"/>
    <n v="990.58608634112011"/>
    <n v="0"/>
    <n v="0"/>
    <n v="0"/>
    <n v="0"/>
    <n v="0"/>
    <n v="41.347499659430909"/>
    <m/>
    <n v="6.987666680039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38867040626724"/>
    <n v="0"/>
    <n v="0"/>
    <n v="0"/>
    <n v="1225.45"/>
    <n v="3"/>
    <m/>
    <m/>
    <m/>
    <m/>
    <m/>
    <m/>
    <m/>
    <m/>
    <m/>
    <n v="1124.9747567473873"/>
    <m/>
    <m/>
    <m/>
    <m/>
    <m/>
    <m/>
    <m/>
    <m/>
    <m/>
    <m/>
    <m/>
    <m/>
    <n v="3098.4096000000004"/>
    <n v="-322.04840000000013"/>
    <m/>
    <m/>
    <m/>
    <m/>
    <n v="-356.45059999999995"/>
    <n v="34.432200000000037"/>
    <m/>
    <n v="60.536459654169903"/>
    <n v="0"/>
    <n v="0"/>
    <n v="0"/>
    <n v="0"/>
    <n v="0"/>
    <n v="0"/>
    <n v="0"/>
    <n v="17.881506418308845"/>
    <n v="0"/>
    <n v="0"/>
    <n v="45.378656245726461"/>
    <n v="0"/>
    <n v="0"/>
    <n v="0"/>
    <n v="6.1563324599190423"/>
    <n v="0"/>
    <n v="-0.73859198871983267"/>
    <m/>
    <n v="0"/>
    <n v="0"/>
    <n v="0"/>
    <n v="0"/>
    <n v="-0.23191614988743936"/>
    <n v="-0.41159694691558357"/>
    <n v="0"/>
    <n v="-7.4979303842615881"/>
    <m/>
    <m/>
    <m/>
    <n v="1668.8567957848077"/>
    <n v="0"/>
    <n v="0"/>
    <n v="-356.45059999999967"/>
    <n v="34.43220000000008"/>
    <n v="0"/>
    <n v="0"/>
    <n v="-382.54121982750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2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33"/>
    <s v="Regular"/>
    <s v="Convencional"/>
    <s v="B2"/>
    <s v="Rural"/>
    <s v="Agropecuária rural"/>
    <s v="IRRIG./AQUIC."/>
    <s v="Não se aplica"/>
    <s v="Não se aplica"/>
    <s v="CATIVO"/>
    <x v="7"/>
    <n v="0"/>
    <n v="0"/>
    <n v="7.0979999999999999"/>
    <n v="7.0979999999999999"/>
    <n v="7.0979999999999999"/>
    <n v="7.0979999999999999"/>
    <m/>
    <n v="597.01"/>
    <n v="243.39"/>
    <m/>
    <n v="5965.1592000000001"/>
    <n v="5965.1592000000001"/>
    <n v="5403.5654400000003"/>
    <n v="0"/>
    <n v="176.62292304797256"/>
    <n v="0"/>
    <n v="0"/>
    <n v="0"/>
    <n v="831.80798769831779"/>
    <n v="2910.4534487667233"/>
    <n v="1727.5626635993292"/>
    <n v="0"/>
    <n v="0"/>
    <n v="0"/>
    <n v="0"/>
    <n v="0"/>
    <n v="72.109226678781468"/>
    <m/>
    <n v="12.186353340275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.371199642183"/>
    <n v="0"/>
    <n v="0"/>
    <n v="0"/>
    <n v="0"/>
    <n v="0"/>
    <m/>
    <m/>
    <m/>
    <m/>
    <m/>
    <n v="648.47327999999993"/>
    <m/>
    <m/>
    <m/>
    <n v="1961.9338632415122"/>
    <m/>
    <m/>
    <m/>
    <m/>
    <m/>
    <m/>
    <m/>
    <m/>
    <m/>
    <m/>
    <m/>
    <m/>
    <n v="4756.4319999999998"/>
    <n v="-492.92390000000069"/>
    <m/>
    <m/>
    <m/>
    <m/>
    <n v="-621.64283999999986"/>
    <n v="60.049080000000053"/>
    <m/>
    <n v="105.57439573103147"/>
    <n v="0"/>
    <n v="0"/>
    <n v="0"/>
    <n v="0"/>
    <n v="0"/>
    <n v="0"/>
    <n v="0"/>
    <n v="31.184995714289016"/>
    <n v="0"/>
    <n v="0"/>
    <n v="79.139484528787989"/>
    <n v="0"/>
    <n v="0"/>
    <n v="0"/>
    <n v="10.736522801106958"/>
    <n v="0"/>
    <n v="-1.2880899105487629"/>
    <m/>
    <n v="0"/>
    <n v="0"/>
    <n v="0"/>
    <n v="0"/>
    <n v="-0.40445720685529807"/>
    <n v="-0.71781698506309866"/>
    <n v="0"/>
    <n v="-13.076243210685199"/>
    <m/>
    <m/>
    <m/>
    <n v="2910.4534487667233"/>
    <n v="0"/>
    <n v="0"/>
    <n v="-621.64283999999998"/>
    <n v="60.049080000000231"/>
    <n v="0"/>
    <n v="0"/>
    <n v="-667.14436814143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4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5.9320000000000004"/>
    <n v="1.60164"/>
    <n v="5.9320000000000004"/>
    <n v="1.60164"/>
    <m/>
    <n v="597.01"/>
    <n v="243.39"/>
    <m/>
    <n v="4985.2528000000002"/>
    <n v="4985.2528000000002"/>
    <n v="4515.9129600000006"/>
    <n v="0"/>
    <n v="147.60878832355218"/>
    <n v="0"/>
    <n v="0"/>
    <n v="0"/>
    <n v="695.16553719729802"/>
    <n v="2432.3485288932379"/>
    <n v="1443.7731361610624"/>
    <n v="0"/>
    <n v="0"/>
    <n v="0"/>
    <n v="0"/>
    <n v="0"/>
    <n v="60.263726776349912"/>
    <m/>
    <n v="10.184481264372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87066163390105"/>
    <n v="0"/>
    <n v="0"/>
    <n v="0"/>
    <n v="0"/>
    <n v="0"/>
    <m/>
    <m/>
    <m/>
    <m/>
    <m/>
    <m/>
    <n v="3442.9422912"/>
    <m/>
    <m/>
    <n v="1639.6437977949636"/>
    <m/>
    <m/>
    <m/>
    <m/>
    <m/>
    <m/>
    <m/>
    <m/>
    <m/>
    <m/>
    <m/>
    <m/>
    <n v="1071.8720000000001"/>
    <n v="-112.65086199999996"/>
    <m/>
    <m/>
    <m/>
    <m/>
    <n v="-519.52455999999995"/>
    <n v="50.184720000000048"/>
    <m/>
    <n v="88.231518100377798"/>
    <n v="0"/>
    <n v="0"/>
    <n v="0"/>
    <n v="0"/>
    <n v="0"/>
    <n v="0"/>
    <n v="0"/>
    <n v="26.062185767422193"/>
    <n v="0"/>
    <n v="0"/>
    <n v="66.139112739471784"/>
    <n v="0"/>
    <n v="0"/>
    <n v="0"/>
    <n v="8.972816745022044"/>
    <n v="0"/>
    <n v="-1.0764932867533332"/>
    <m/>
    <n v="0"/>
    <n v="0"/>
    <n v="0"/>
    <n v="0"/>
    <n v="-0.33801636391456924"/>
    <n v="-0.59990002189269021"/>
    <n v="0"/>
    <n v="-10.928187478977826"/>
    <m/>
    <m/>
    <m/>
    <n v="2432.3485288932379"/>
    <n v="0"/>
    <n v="0"/>
    <n v="-519.52455999999984"/>
    <n v="50.184720000000198"/>
    <n v="0"/>
    <n v="0"/>
    <n v="-557.55147813679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5"/>
    <s v="Regular"/>
    <s v="Convencional"/>
    <s v="B1"/>
    <s v="Residencial"/>
    <s v="Residencial"/>
    <s v="Não se aplica"/>
    <s v="Não se aplica"/>
    <s v="Não se aplica"/>
    <s v="CATIVO"/>
    <x v="8"/>
    <n v="0"/>
    <n v="0"/>
    <n v="217.96"/>
    <n v="217.96"/>
    <n v="217.96"/>
    <n v="217.96"/>
    <m/>
    <n v="597.01"/>
    <n v="243.39"/>
    <m/>
    <n v="183173.584"/>
    <n v="183173.584"/>
    <n v="165928.5888"/>
    <n v="0"/>
    <n v="5423.602748314469"/>
    <n v="0"/>
    <n v="0"/>
    <n v="0"/>
    <n v="25542.5287403107"/>
    <n v="89371.996857311227"/>
    <n v="53048.683876882191"/>
    <n v="0"/>
    <n v="0"/>
    <n v="0"/>
    <n v="0"/>
    <n v="0"/>
    <n v="2214.2754363070176"/>
    <m/>
    <n v="374.209294737463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96.8930225429995"/>
    <n v="0"/>
    <n v="49.54"/>
    <n v="229.21"/>
    <n v="1724.48"/>
    <n v="1996"/>
    <m/>
    <m/>
    <m/>
    <m/>
    <m/>
    <m/>
    <m/>
    <m/>
    <m/>
    <n v="60245.576899425192"/>
    <m/>
    <m/>
    <m/>
    <m/>
    <m/>
    <m/>
    <m/>
    <m/>
    <m/>
    <m/>
    <m/>
    <m/>
    <n v="165928.5888"/>
    <n v="-17245.025200000004"/>
    <m/>
    <m/>
    <m/>
    <m/>
    <n v="-19088.936799999996"/>
    <n v="1843.9416000000017"/>
    <n v="31"/>
    <n v="3241.8984634454537"/>
    <n v="0"/>
    <n v="0"/>
    <n v="0"/>
    <n v="0"/>
    <n v="0"/>
    <n v="0"/>
    <n v="0"/>
    <n v="957.6051938414239"/>
    <n v="0"/>
    <n v="0"/>
    <n v="2430.1552617490379"/>
    <n v="0"/>
    <n v="0"/>
    <n v="0"/>
    <n v="329.68899827124096"/>
    <n v="0"/>
    <n v="-39.553687926628299"/>
    <m/>
    <n v="0"/>
    <n v="0"/>
    <n v="0"/>
    <n v="0"/>
    <n v="-12.419765117805582"/>
    <n v="-22.042179496245865"/>
    <n v="0"/>
    <n v="-401.5353578755911"/>
    <m/>
    <m/>
    <m/>
    <n v="89371.996857311227"/>
    <n v="0"/>
    <n v="0"/>
    <n v="-19088.936799999996"/>
    <n v="1843.9416000000056"/>
    <n v="0"/>
    <n v="0"/>
    <n v="-20486.16321218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6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3.6760000000000002"/>
    <n v="3.6760000000000002"/>
    <n v="3.6760000000000002"/>
    <n v="3.6760000000000002"/>
    <m/>
    <n v="597.01"/>
    <n v="243.39"/>
    <m/>
    <n v="3089.3104000000003"/>
    <n v="3089.3104000000003"/>
    <n v="2798.4652800000003"/>
    <n v="0"/>
    <n v="91.471663162066378"/>
    <n v="0"/>
    <n v="0"/>
    <n v="0"/>
    <n v="430.78700518160275"/>
    <n v="1507.301617028244"/>
    <n v="894.69151188942442"/>
    <n v="0"/>
    <n v="0"/>
    <n v="0"/>
    <n v="0"/>
    <n v="0"/>
    <n v="37.344817874218187"/>
    <m/>
    <n v="6.3112193404978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37905464703645"/>
    <n v="0"/>
    <n v="0"/>
    <n v="0"/>
    <n v="0"/>
    <n v="16"/>
    <m/>
    <m/>
    <m/>
    <m/>
    <m/>
    <m/>
    <m/>
    <m/>
    <m/>
    <n v="1016.0705665364609"/>
    <m/>
    <m/>
    <m/>
    <m/>
    <m/>
    <m/>
    <m/>
    <m/>
    <m/>
    <m/>
    <m/>
    <m/>
    <n v="2801.5104000000001"/>
    <n v="-287.83000000000084"/>
    <m/>
    <m/>
    <m/>
    <m/>
    <n v="-321.94407999999993"/>
    <n v="31.09896000000003"/>
    <n v="31"/>
    <n v="54.676173387893868"/>
    <n v="0"/>
    <n v="0"/>
    <n v="0"/>
    <n v="0"/>
    <n v="0"/>
    <n v="0"/>
    <n v="0"/>
    <n v="16.150471153244041"/>
    <n v="0"/>
    <n v="0"/>
    <n v="40.985734732012475"/>
    <n v="0"/>
    <n v="0"/>
    <n v="0"/>
    <n v="5.5603631751013154"/>
    <n v="0"/>
    <n v="-0.66709192887816471"/>
    <m/>
    <n v="0"/>
    <n v="0"/>
    <n v="0"/>
    <n v="0"/>
    <n v="-0.20946529901382149"/>
    <n v="-0.37175193534685214"/>
    <n v="0"/>
    <n v="-6.7720865092249642"/>
    <m/>
    <m/>
    <m/>
    <n v="1507.301617028244"/>
    <n v="0"/>
    <n v="0"/>
    <n v="-321.94407999999999"/>
    <n v="31.098960000000034"/>
    <n v="0"/>
    <n v="0"/>
    <n v="-345.50897397688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7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64.92"/>
    <n v="64.92"/>
    <n v="64.92"/>
    <n v="64.92"/>
    <m/>
    <n v="561.96"/>
    <n v="243.39"/>
    <m/>
    <n v="52283.322"/>
    <n v="52283.322"/>
    <n v="47159.186399999999"/>
    <n v="0"/>
    <n v="0"/>
    <n v="0"/>
    <n v="0"/>
    <n v="0"/>
    <n v="7607.9141393878263"/>
    <n v="26619.701027604351"/>
    <n v="15800.69993249767"/>
    <n v="0"/>
    <n v="0"/>
    <n v="0"/>
    <n v="0"/>
    <n v="0"/>
    <n v="0"/>
    <m/>
    <n v="111.459292596605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3.614860632646"/>
    <n v="0"/>
    <n v="0"/>
    <n v="0"/>
    <n v="0"/>
    <n v="142"/>
    <m/>
    <m/>
    <m/>
    <m/>
    <m/>
    <m/>
    <m/>
    <n v="30653.276400000002"/>
    <m/>
    <n v="17944.314793130317"/>
    <m/>
    <m/>
    <m/>
    <m/>
    <m/>
    <m/>
    <m/>
    <m/>
    <m/>
    <m/>
    <m/>
    <m/>
    <n v="16505.91"/>
    <n v="-1793.7695999999996"/>
    <m/>
    <m/>
    <m/>
    <m/>
    <n v="-5673.3588000000027"/>
    <n v="549.22320000000047"/>
    <n v="31"/>
    <n v="977.87735500897907"/>
    <n v="0"/>
    <n v="0"/>
    <n v="0"/>
    <n v="0"/>
    <n v="0"/>
    <n v="0"/>
    <n v="0"/>
    <n v="285.2254045888476"/>
    <n v="0"/>
    <n v="0"/>
    <n v="723.8285905337998"/>
    <n v="0"/>
    <n v="0"/>
    <n v="0"/>
    <n v="98.198796879101792"/>
    <n v="0"/>
    <n v="0"/>
    <m/>
    <n v="0"/>
    <n v="0"/>
    <n v="0"/>
    <n v="0"/>
    <n v="0"/>
    <n v="-6.565325256452013"/>
    <n v="0"/>
    <n v="-122.81011173631614"/>
    <m/>
    <m/>
    <m/>
    <n v="26619.701027604351"/>
    <n v="0"/>
    <n v="0"/>
    <n v="-5673.3588000000018"/>
    <n v="549.22320000000036"/>
    <n v="0"/>
    <n v="0"/>
    <n v="-6101.8614228996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8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02.47799999999999"/>
    <n v="102.47799999999999"/>
    <n v="102.47799999999999"/>
    <n v="102.47799999999999"/>
    <m/>
    <n v="561.96"/>
    <n v="243.39"/>
    <m/>
    <n v="82530.657299999992"/>
    <n v="82530.657299999992"/>
    <n v="74442.068759999995"/>
    <n v="0"/>
    <n v="0"/>
    <n v="0"/>
    <n v="0"/>
    <n v="0"/>
    <n v="12009.301065560468"/>
    <n v="42019.92794064754"/>
    <n v="24941.838072743314"/>
    <n v="0"/>
    <n v="0"/>
    <n v="0"/>
    <n v="0"/>
    <n v="0"/>
    <n v="0"/>
    <m/>
    <n v="175.941549394869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83.7548319148532"/>
    <n v="0"/>
    <n v="0"/>
    <n v="0"/>
    <n v="0"/>
    <n v="1244"/>
    <m/>
    <m/>
    <m/>
    <m/>
    <m/>
    <m/>
    <m/>
    <n v="29777.032459999995"/>
    <m/>
    <n v="28325.592904658166"/>
    <m/>
    <m/>
    <m/>
    <m/>
    <m/>
    <m/>
    <m/>
    <m/>
    <m/>
    <m/>
    <m/>
    <m/>
    <n v="44665.908000000003"/>
    <n v="-4852.5163800000009"/>
    <m/>
    <m/>
    <m/>
    <m/>
    <n v="-8955.5524200000036"/>
    <n v="866.96388000000081"/>
    <n v="31"/>
    <n v="1543.6062166760748"/>
    <n v="0"/>
    <n v="0"/>
    <n v="0"/>
    <n v="0"/>
    <n v="0"/>
    <n v="0"/>
    <n v="0"/>
    <n v="450.2361215566234"/>
    <n v="0"/>
    <n v="0"/>
    <n v="1142.5832763512444"/>
    <n v="0"/>
    <n v="0"/>
    <n v="0"/>
    <n v="155.00949332373057"/>
    <n v="0"/>
    <n v="0"/>
    <m/>
    <n v="0"/>
    <n v="0"/>
    <n v="0"/>
    <n v="0"/>
    <n v="0"/>
    <n v="-10.363545927767859"/>
    <n v="0"/>
    <n v="-193.85912862776044"/>
    <m/>
    <m/>
    <m/>
    <n v="42019.92794064754"/>
    <n v="0"/>
    <n v="0"/>
    <n v="-8955.55242"/>
    <n v="866.96388000000297"/>
    <n v="0"/>
    <n v="0"/>
    <n v="-9631.9555590867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39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5.238999999999997"/>
    <n v="35.238999999999997"/>
    <n v="35.238999999999997"/>
    <n v="35.238999999999997"/>
    <m/>
    <n v="561.96"/>
    <n v="243.39"/>
    <m/>
    <n v="28379.728649999997"/>
    <n v="28379.728649999997"/>
    <n v="25598.314379999996"/>
    <n v="0"/>
    <n v="0"/>
    <n v="0"/>
    <n v="0"/>
    <n v="0"/>
    <n v="4129.6254830235303"/>
    <n v="14449.347574118139"/>
    <n v="8576.7231195515305"/>
    <n v="0"/>
    <n v="0"/>
    <n v="0"/>
    <n v="0"/>
    <n v="0"/>
    <n v="0"/>
    <m/>
    <n v="60.500831974919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3.5681465470395"/>
    <n v="0"/>
    <n v="0"/>
    <n v="0"/>
    <n v="0"/>
    <n v="698"/>
    <m/>
    <m/>
    <m/>
    <m/>
    <m/>
    <m/>
    <m/>
    <n v="2559.7609599999996"/>
    <m/>
    <n v="9740.2912660985694"/>
    <m/>
    <m/>
    <m/>
    <m/>
    <m/>
    <m/>
    <m/>
    <m/>
    <m/>
    <m/>
    <m/>
    <m/>
    <n v="23039.207200000001"/>
    <n v="-2502.754779999992"/>
    <m/>
    <m/>
    <m/>
    <m/>
    <n v="-3079.5362100000011"/>
    <n v="298.12194000000028"/>
    <n v="31"/>
    <n v="530.79821492855081"/>
    <n v="0"/>
    <n v="0"/>
    <n v="0"/>
    <n v="0"/>
    <n v="0"/>
    <n v="0"/>
    <n v="0"/>
    <n v="154.82221245080746"/>
    <n v="0"/>
    <n v="0"/>
    <n v="392.89888634966883"/>
    <n v="0"/>
    <n v="0"/>
    <n v="0"/>
    <n v="53.302948293633108"/>
    <n v="0"/>
    <n v="0"/>
    <m/>
    <n v="0"/>
    <n v="0"/>
    <n v="0"/>
    <n v="0"/>
    <n v="0"/>
    <n v="-3.5637014280978505"/>
    <n v="0"/>
    <n v="-66.662130737462178"/>
    <m/>
    <m/>
    <m/>
    <n v="14449.347574118139"/>
    <n v="0"/>
    <n v="0"/>
    <n v="-3079.536210000002"/>
    <n v="298.1219400000009"/>
    <n v="0"/>
    <n v="0"/>
    <n v="-3312.13023230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40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8.3030000000000008"/>
    <n v="8.3030000000000008"/>
    <n v="8.3030000000000008"/>
    <n v="8.3030000000000008"/>
    <m/>
    <n v="561.96"/>
    <n v="243.39"/>
    <m/>
    <n v="6686.8210500000005"/>
    <n v="6686.8210500000005"/>
    <n v="6031.4652600000009"/>
    <n v="0"/>
    <n v="0"/>
    <n v="0"/>
    <n v="0"/>
    <n v="0"/>
    <n v="973.02081175811963"/>
    <n v="3404.5498711059604"/>
    <n v="2020.8442935848452"/>
    <n v="0"/>
    <n v="0"/>
    <n v="0"/>
    <n v="0"/>
    <n v="0"/>
    <n v="0"/>
    <m/>
    <n v="14.255183401565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4.1594914946528"/>
    <n v="0"/>
    <n v="49.59"/>
    <n v="228.8"/>
    <n v="1113.57"/>
    <n v="80"/>
    <m/>
    <m/>
    <m/>
    <m/>
    <m/>
    <m/>
    <m/>
    <m/>
    <m/>
    <n v="2295.0037850794979"/>
    <m/>
    <m/>
    <m/>
    <m/>
    <m/>
    <m/>
    <m/>
    <m/>
    <m/>
    <m/>
    <m/>
    <m/>
    <n v="6029.2860000000001"/>
    <n v="-657.56505000000107"/>
    <m/>
    <m/>
    <m/>
    <m/>
    <n v="-725.59917000000041"/>
    <n v="70.243380000000073"/>
    <n v="31"/>
    <n v="125.06647687368422"/>
    <n v="0"/>
    <n v="0"/>
    <n v="0"/>
    <n v="0"/>
    <n v="0"/>
    <n v="0"/>
    <n v="0"/>
    <n v="36.479151791454115"/>
    <n v="0"/>
    <n v="0"/>
    <n v="92.574688650679946"/>
    <n v="0"/>
    <n v="0"/>
    <n v="0"/>
    <n v="12.559220740714466"/>
    <n v="0"/>
    <n v="0"/>
    <m/>
    <n v="0"/>
    <n v="0"/>
    <n v="0"/>
    <n v="0"/>
    <n v="0"/>
    <n v="-0.83967799760198858"/>
    <n v="0"/>
    <n v="-15.706906311562431"/>
    <m/>
    <m/>
    <m/>
    <n v="3404.5498711059604"/>
    <n v="0"/>
    <n v="0"/>
    <n v="-725.59917000000041"/>
    <n v="70.243380000000343"/>
    <n v="0"/>
    <n v="0"/>
    <n v="-780.40288654245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41"/>
    <s v="Regular"/>
    <s v="Branca"/>
    <s v="B1"/>
    <s v="Residencial"/>
    <s v="Residencial"/>
    <s v="Não se aplica"/>
    <s v="Não se aplica"/>
    <s v="Fora ponta"/>
    <s v="CATIVO"/>
    <x v="8"/>
    <n v="0"/>
    <n v="0"/>
    <n v="0.186"/>
    <n v="0.186"/>
    <n v="0.186"/>
    <n v="0.186"/>
    <m/>
    <n v="386.11"/>
    <n v="243.39"/>
    <m/>
    <n v="117.087"/>
    <n v="117.087"/>
    <n v="108.98112"/>
    <n v="0"/>
    <n v="4.6283268085267535"/>
    <n v="0"/>
    <n v="0"/>
    <n v="0"/>
    <n v="13.07812764793545"/>
    <n v="45.760306339432624"/>
    <n v="45.270027533033989"/>
    <n v="0"/>
    <n v="0"/>
    <n v="0"/>
    <n v="0"/>
    <n v="0"/>
    <n v="1.8895908935268177"/>
    <m/>
    <n v="0.3193380841492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415952568957506"/>
    <n v="0"/>
    <n v="0"/>
    <n v="0"/>
    <n v="0"/>
    <n v="0"/>
    <m/>
    <m/>
    <m/>
    <m/>
    <m/>
    <m/>
    <m/>
    <m/>
    <m/>
    <n v="51.411622789929737"/>
    <m/>
    <m/>
    <m/>
    <m/>
    <m/>
    <m/>
    <m/>
    <m/>
    <m/>
    <m/>
    <m/>
    <m/>
    <n v="111.32480000000001"/>
    <n v="-5.7922000000000082"/>
    <m/>
    <m/>
    <m/>
    <m/>
    <n v="-9.6794400000000032"/>
    <n v="1.5735600000000014"/>
    <n v="31"/>
    <n v="2.3842718679320143"/>
    <n v="0"/>
    <n v="0"/>
    <n v="0"/>
    <n v="0"/>
    <n v="0"/>
    <n v="0"/>
    <n v="0"/>
    <n v="0.49030709091924685"/>
    <n v="0"/>
    <n v="0"/>
    <n v="2.0738157399766877"/>
    <n v="0"/>
    <n v="0"/>
    <n v="0"/>
    <n v="0.28134590603069842"/>
    <n v="0"/>
    <n v="-3.3753835356729489E-2"/>
    <m/>
    <n v="0"/>
    <n v="0"/>
    <n v="0"/>
    <n v="0"/>
    <n v="-1.0598625031711162E-2"/>
    <n v="-1.8810081603513162E-2"/>
    <n v="0"/>
    <n v="-0.39803432700269625"/>
    <m/>
    <m/>
    <m/>
    <n v="45.760306339432624"/>
    <n v="0"/>
    <n v="0"/>
    <n v="-9.6794400000000067"/>
    <n v="1.5735600000000005"/>
    <n v="0"/>
    <n v="0"/>
    <n v="-10.489338240993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42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43"/>
    <s v="Regular"/>
    <s v="Convencional"/>
    <s v="B3"/>
    <s v="Industrial"/>
    <s v="Não se aplica"/>
    <s v="Não se aplica"/>
    <s v="Não se aplica"/>
    <s v="Não se aplica"/>
    <s v="CATIVO"/>
    <x v="8"/>
    <n v="0"/>
    <n v="0"/>
    <n v="0.435"/>
    <n v="0.435"/>
    <n v="0.435"/>
    <n v="0.435"/>
    <m/>
    <n v="597.01"/>
    <n v="243.39"/>
    <m/>
    <n v="365.57399999999996"/>
    <n v="365.57399999999996"/>
    <n v="331.15679999999998"/>
    <n v="0"/>
    <n v="10.824312697360956"/>
    <n v="0"/>
    <n v="0"/>
    <n v="0"/>
    <n v="50.977243540260389"/>
    <n v="178.36675827184061"/>
    <n v="105.87345148854723"/>
    <n v="0"/>
    <n v="0"/>
    <n v="0"/>
    <n v="0"/>
    <n v="0"/>
    <n v="4.419204509054655"/>
    <m/>
    <n v="0.74683906776838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363408262094902"/>
    <n v="0"/>
    <n v="0"/>
    <n v="0"/>
    <n v="0"/>
    <n v="3"/>
    <m/>
    <m/>
    <m/>
    <m/>
    <m/>
    <m/>
    <m/>
    <m/>
    <m/>
    <n v="120.23685975064214"/>
    <m/>
    <m/>
    <m/>
    <m/>
    <m/>
    <m/>
    <m/>
    <m/>
    <m/>
    <m/>
    <m/>
    <m/>
    <n v="334.96320000000003"/>
    <n v="-30.640799999999899"/>
    <m/>
    <m/>
    <m/>
    <m/>
    <n v="-38.09729999999999"/>
    <n v="3.6801000000000035"/>
    <n v="31"/>
    <n v="6.4701130097208761"/>
    <n v="0"/>
    <n v="0"/>
    <n v="0"/>
    <n v="0"/>
    <n v="0"/>
    <n v="0"/>
    <n v="0"/>
    <n v="1.9111683764040137"/>
    <n v="0"/>
    <n v="0"/>
    <n v="4.8500529402680712"/>
    <n v="0"/>
    <n v="0"/>
    <n v="0"/>
    <n v="0.65798639313630858"/>
    <n v="0"/>
    <n v="-7.8940421398803196E-2"/>
    <m/>
    <n v="0"/>
    <n v="0"/>
    <n v="0"/>
    <n v="0"/>
    <n v="-2.4787106929002434E-2"/>
    <n v="-4.3991319879184032E-2"/>
    <n v="0"/>
    <n v="-0.80137585188053828"/>
    <m/>
    <m/>
    <m/>
    <n v="178.36675827184061"/>
    <n v="0"/>
    <n v="0"/>
    <n v="-38.09729999999999"/>
    <n v="3.6801000000000101"/>
    <n v="0"/>
    <n v="0"/>
    <n v="-40.885855190409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44"/>
    <s v="Regular"/>
    <s v="Verde"/>
    <s v="A4"/>
    <s v="Industrial"/>
    <s v="Não se aplica"/>
    <s v="Não se aplica"/>
    <s v="Não se aplica"/>
    <s v="Ponta"/>
    <s v="CATIVO"/>
    <x v="8"/>
    <n v="0"/>
    <n v="0"/>
    <n v="0.16"/>
    <n v="0.16"/>
    <n v="0.16"/>
    <n v="0.16"/>
    <m/>
    <n v="2773.91"/>
    <n v="243.39"/>
    <m/>
    <n v="482.76800000000003"/>
    <n v="482.76800000000003"/>
    <n v="415.57920000000001"/>
    <n v="0"/>
    <n v="3.4637800631555042"/>
    <n v="0"/>
    <n v="0"/>
    <n v="0"/>
    <n v="115.28120308260225"/>
    <n v="320.91930396756322"/>
    <n v="38.941959168201279"/>
    <n v="0"/>
    <n v="0"/>
    <n v="0"/>
    <n v="0"/>
    <n v="0"/>
    <n v="1.6254545320660798"/>
    <m/>
    <n v="0.11098856340724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254606289817282"/>
    <n v="0"/>
    <n v="0"/>
    <n v="0"/>
    <n v="0"/>
    <n v="0"/>
    <m/>
    <m/>
    <m/>
    <m/>
    <m/>
    <m/>
    <m/>
    <m/>
    <m/>
    <n v="41.367419797183004"/>
    <m/>
    <m/>
    <m/>
    <m/>
    <m/>
    <m/>
    <m/>
    <m/>
    <m/>
    <m/>
    <m/>
    <m/>
    <n v="415.57920000000001"/>
    <n v="-67.218799999999987"/>
    <m/>
    <m/>
    <m/>
    <m/>
    <n v="-68.542399999999986"/>
    <n v="1.3536000000000012"/>
    <n v="31"/>
    <n v="6.373045639351659"/>
    <n v="0"/>
    <n v="0"/>
    <n v="0"/>
    <n v="0"/>
    <n v="0"/>
    <n v="0"/>
    <n v="0"/>
    <n v="4.3219635748107237"/>
    <n v="0"/>
    <n v="0"/>
    <n v="1.7839275182595173"/>
    <n v="0"/>
    <n v="0"/>
    <n v="0"/>
    <n v="0.11111012524580799"/>
    <n v="0"/>
    <n v="-2.5260934847616046E-2"/>
    <m/>
    <n v="0"/>
    <n v="0"/>
    <n v="0"/>
    <n v="0"/>
    <n v="-9.117096801471769E-3"/>
    <n v="-6.5375977322246204E-3"/>
    <n v="0"/>
    <n v="0.19696005041691683"/>
    <m/>
    <m/>
    <m/>
    <n v="320.91930396756322"/>
    <n v="0"/>
    <n v="0"/>
    <n v="-68.542399999999986"/>
    <n v="1.3536000000000001"/>
    <n v="0"/>
    <n v="0"/>
    <n v="-73.562250707204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45"/>
    <s v="Regular"/>
    <s v="Verde"/>
    <s v="A4"/>
    <s v="Industrial"/>
    <s v="Não se aplica"/>
    <s v="Não se aplica"/>
    <s v="Não se aplica"/>
    <s v="Fora ponta"/>
    <s v="CATIVO"/>
    <x v="8"/>
    <n v="0"/>
    <n v="0"/>
    <n v="23.591000000000001"/>
    <n v="23.591000000000001"/>
    <n v="23.591000000000001"/>
    <n v="23.591000000000001"/>
    <m/>
    <n v="47.66"/>
    <n v="243.39"/>
    <m/>
    <n v="6866.1605499999996"/>
    <n v="6866.1605499999996"/>
    <n v="7077.7718199999999"/>
    <n v="0"/>
    <n v="510.71272168688438"/>
    <n v="0"/>
    <n v="0"/>
    <n v="0"/>
    <n v="0"/>
    <n v="0"/>
    <n v="5741.7484921064779"/>
    <n v="0"/>
    <n v="0"/>
    <n v="0"/>
    <n v="0"/>
    <n v="0"/>
    <n v="239.66311166231807"/>
    <m/>
    <n v="16.36456999587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61901061442467"/>
    <n v="0"/>
    <n v="0"/>
    <n v="0"/>
    <n v="0"/>
    <n v="0"/>
    <m/>
    <m/>
    <m/>
    <m/>
    <m/>
    <m/>
    <m/>
    <m/>
    <m/>
    <n v="6099.3675027209028"/>
    <m/>
    <m/>
    <m/>
    <m/>
    <m/>
    <m/>
    <m/>
    <m/>
    <m/>
    <m/>
    <m/>
    <m/>
    <n v="7077.4717999999993"/>
    <n v="211.28125"/>
    <m/>
    <m/>
    <m/>
    <m/>
    <n v="12.031410000000122"/>
    <n v="199.5798600000002"/>
    <n v="31"/>
    <n v="211.62263138232083"/>
    <n v="0"/>
    <n v="0"/>
    <n v="0"/>
    <n v="0"/>
    <n v="0"/>
    <n v="0"/>
    <n v="0"/>
    <n v="0"/>
    <n v="0"/>
    <n v="0"/>
    <n v="263.02896302037698"/>
    <n v="0"/>
    <n v="0"/>
    <n v="0"/>
    <n v="16.382493529211615"/>
    <n v="0"/>
    <n v="-3.724566962438189"/>
    <m/>
    <n v="0"/>
    <n v="0"/>
    <n v="0"/>
    <n v="0"/>
    <n v="-1.3442589415220425"/>
    <n v="-0.96392792563069385"/>
    <n v="0"/>
    <n v="-61.756071337675849"/>
    <m/>
    <m/>
    <m/>
    <n v="0"/>
    <n v="0"/>
    <n v="0"/>
    <n v="12.031410000000051"/>
    <n v="199.57986000000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46"/>
    <s v="Regular"/>
    <s v="Verde"/>
    <s v="A4"/>
    <s v="Industrial"/>
    <s v="Não se aplica"/>
    <s v="Não se aplica"/>
    <s v="Não se aplica"/>
    <s v="Não se aplica"/>
    <s v="CATIVO"/>
    <x v="8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n v="31"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247"/>
    <s v="Regular"/>
    <s v="Convencional"/>
    <s v="B3"/>
    <s v="Comercial"/>
    <s v="Não se aplica"/>
    <s v="Não se aplica"/>
    <s v="Não se aplica"/>
    <s v="Não se aplica"/>
    <s v="CATIVO"/>
    <x v="8"/>
    <n v="0"/>
    <n v="0"/>
    <n v="66.722999999999999"/>
    <n v="66.722999999999999"/>
    <n v="66.722999999999999"/>
    <n v="66.722999999999999"/>
    <m/>
    <n v="597.01"/>
    <n v="243.39"/>
    <m/>
    <n v="56074.0092"/>
    <n v="56074.0092"/>
    <n v="50794.885439999998"/>
    <n v="0"/>
    <n v="1660.3002669103794"/>
    <n v="0"/>
    <n v="0"/>
    <n v="0"/>
    <n v="7819.2060246822848"/>
    <n v="27359.000487751771"/>
    <n v="16239.527134874337"/>
    <n v="0"/>
    <n v="0"/>
    <n v="0"/>
    <n v="0"/>
    <n v="0"/>
    <n v="677.84501714403154"/>
    <m/>
    <n v="114.554811767148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3.1487114293291"/>
    <n v="0"/>
    <n v="84.12"/>
    <n v="388.4"/>
    <n v="4766.72"/>
    <n v="208"/>
    <m/>
    <m/>
    <m/>
    <m/>
    <m/>
    <m/>
    <m/>
    <m/>
    <m/>
    <n v="18442.675846303668"/>
    <m/>
    <m/>
    <m/>
    <m/>
    <m/>
    <m/>
    <m/>
    <m/>
    <m/>
    <m/>
    <m/>
    <m/>
    <n v="50792.601600000002"/>
    <n v="-5281.4376000000047"/>
    <m/>
    <m/>
    <m/>
    <m/>
    <n v="-5843.6003399999991"/>
    <n v="564.47658000000047"/>
    <n v="31"/>
    <n v="992.42609275311042"/>
    <n v="0"/>
    <n v="0"/>
    <n v="0"/>
    <n v="0"/>
    <n v="0"/>
    <n v="0"/>
    <n v="0"/>
    <n v="293.14686799725314"/>
    <n v="0"/>
    <n v="0"/>
    <n v="743.93122375518578"/>
    <n v="0"/>
    <n v="0"/>
    <n v="0"/>
    <n v="100.92603703272152"/>
    <n v="0"/>
    <n v="-12.108371809177925"/>
    <m/>
    <n v="0"/>
    <n v="0"/>
    <n v="0"/>
    <n v="0"/>
    <n v="-3.8020003117788974"/>
    <n v="-6.7476616926409037"/>
    <n v="0"/>
    <n v="-122.92000221844864"/>
    <m/>
    <m/>
    <m/>
    <n v="27359.000487751771"/>
    <n v="0"/>
    <n v="0"/>
    <n v="-5843.6003399999972"/>
    <n v="564.47658000000047"/>
    <n v="0"/>
    <n v="0"/>
    <n v="-6271.3262433785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48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9.18"/>
    <n v="9.18"/>
    <n v="9.18"/>
    <n v="9.18"/>
    <m/>
    <n v="597.01"/>
    <n v="243.39"/>
    <m/>
    <n v="7714.8719999999994"/>
    <n v="7714.8719999999994"/>
    <n v="6988.5504000000001"/>
    <n v="0"/>
    <n v="228.43032313051395"/>
    <n v="0"/>
    <n v="0"/>
    <n v="0"/>
    <n v="1075.7956222979089"/>
    <n v="3764.153657322981"/>
    <n v="2234.2949072755482"/>
    <n v="0"/>
    <n v="0"/>
    <n v="0"/>
    <n v="0"/>
    <n v="0"/>
    <n v="93.260453777291332"/>
    <m/>
    <n v="15.7608796370430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.11744332420966"/>
    <n v="0"/>
    <n v="0"/>
    <n v="0"/>
    <n v="0"/>
    <n v="6"/>
    <m/>
    <m/>
    <m/>
    <m/>
    <m/>
    <m/>
    <m/>
    <m/>
    <m/>
    <n v="2537.4123505997577"/>
    <m/>
    <m/>
    <m/>
    <m/>
    <m/>
    <m/>
    <m/>
    <m/>
    <m/>
    <m/>
    <m/>
    <m/>
    <n v="6988.5504000000001"/>
    <n v="-726.35159999999996"/>
    <m/>
    <m/>
    <m/>
    <m/>
    <n v="-803.98439999999982"/>
    <n v="77.662800000000075"/>
    <n v="31"/>
    <n v="136.54169523962628"/>
    <n v="0"/>
    <n v="0"/>
    <n v="0"/>
    <n v="0"/>
    <n v="0"/>
    <n v="0"/>
    <n v="0"/>
    <n v="40.332242977905253"/>
    <n v="0"/>
    <n v="0"/>
    <n v="102.35284136014025"/>
    <n v="0"/>
    <n v="0"/>
    <n v="0"/>
    <n v="13.885781813773121"/>
    <n v="0"/>
    <n v="-1.6659150998644066"/>
    <m/>
    <n v="0"/>
    <n v="0"/>
    <n v="0"/>
    <n v="0"/>
    <n v="-0.52309342898445266"/>
    <n v="-0.92836854365726218"/>
    <n v="0"/>
    <n v="-16.911793839685842"/>
    <m/>
    <m/>
    <m/>
    <n v="3764.153657322981"/>
    <n v="0"/>
    <n v="0"/>
    <n v="-803.98440000000028"/>
    <n v="77.662800000000061"/>
    <n v="0"/>
    <n v="0"/>
    <n v="-862.83253022518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49"/>
    <s v="Regular"/>
    <s v="Branca"/>
    <s v="B3"/>
    <s v="Comercial"/>
    <s v="Não se aplica"/>
    <s v="Não se aplica"/>
    <s v="Não se aplica"/>
    <s v="Ponta"/>
    <s v="CATIVO"/>
    <x v="8"/>
    <n v="0"/>
    <n v="0"/>
    <n v="7.0000000000000001E-3"/>
    <n v="7.0000000000000001E-3"/>
    <n v="7.0000000000000001E-3"/>
    <n v="7.0000000000000001E-3"/>
    <m/>
    <n v="1783.27"/>
    <n v="243.39"/>
    <m/>
    <n v="14.18662"/>
    <n v="14.18662"/>
    <n v="12.23334"/>
    <n v="0"/>
    <n v="0.17418434225638321"/>
    <n v="0"/>
    <n v="0"/>
    <n v="0"/>
    <n v="2.6660526592276153"/>
    <n v="9.3283802122784003"/>
    <n v="1.7037107136088059"/>
    <n v="0"/>
    <n v="0"/>
    <n v="0"/>
    <n v="0"/>
    <n v="0"/>
    <n v="7.1113635777890996E-2"/>
    <m/>
    <n v="1.2018099941100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3113530536704438"/>
    <n v="0"/>
    <n v="0"/>
    <n v="0"/>
    <n v="0"/>
    <n v="0"/>
    <m/>
    <m/>
    <m/>
    <m/>
    <m/>
    <m/>
    <m/>
    <m/>
    <m/>
    <n v="1.9348460189758503"/>
    <m/>
    <m/>
    <m/>
    <m/>
    <m/>
    <m/>
    <m/>
    <m/>
    <m/>
    <m/>
    <m/>
    <m/>
    <n v="17.476200000000002"/>
    <n v="3.2595800000000033"/>
    <m/>
    <m/>
    <m/>
    <m/>
    <n v="-2.0125000000000002"/>
    <n v="5.9220000000000057E-2"/>
    <n v="31"/>
    <n v="0.1850372155123976"/>
    <n v="0"/>
    <n v="0"/>
    <n v="0"/>
    <n v="0"/>
    <n v="0"/>
    <n v="0"/>
    <n v="0"/>
    <n v="9.9951962450045784E-2"/>
    <n v="0"/>
    <n v="0"/>
    <n v="7.8046828923854061E-2"/>
    <n v="0"/>
    <n v="0"/>
    <n v="0"/>
    <n v="1.0588286786101547E-2"/>
    <n v="0"/>
    <n v="-1.27030563170491E-3"/>
    <m/>
    <n v="0"/>
    <n v="0"/>
    <n v="0"/>
    <n v="0"/>
    <n v="-3.9887298506439961E-4"/>
    <n v="-7.0790629690640865E-4"/>
    <n v="0"/>
    <n v="-1.172777733928921E-3"/>
    <m/>
    <m/>
    <m/>
    <n v="9.3283802122784003"/>
    <n v="0"/>
    <n v="0"/>
    <n v="-2.0124999999999993"/>
    <n v="5.922000000000005E-2"/>
    <n v="0"/>
    <n v="0"/>
    <n v="-2.1382840962945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0"/>
    <s v="Regular"/>
    <s v="Branca"/>
    <s v="B3"/>
    <s v="Comercial"/>
    <s v="Não se aplica"/>
    <s v="Não se aplica"/>
    <s v="Não se aplica"/>
    <s v="Fora ponta"/>
    <s v="CATIVO"/>
    <x v="8"/>
    <n v="0"/>
    <n v="0"/>
    <n v="0.39500000000000002"/>
    <n v="0.39500000000000002"/>
    <n v="0.39500000000000002"/>
    <n v="0.39500000000000002"/>
    <m/>
    <n v="412.48"/>
    <n v="243.39"/>
    <m/>
    <n v="259.06865000000005"/>
    <n v="259.06865000000005"/>
    <n v="240.10075000000001"/>
    <n v="0"/>
    <n v="9.828973598753052"/>
    <n v="0"/>
    <n v="0"/>
    <n v="0"/>
    <n v="30.088783636794279"/>
    <n v="105.27747826750834"/>
    <n v="96.137961696496916"/>
    <n v="0"/>
    <n v="0"/>
    <n v="0"/>
    <n v="0"/>
    <n v="0"/>
    <n v="4.0128408760381351"/>
    <m/>
    <n v="0.67816421096209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42635088568934"/>
    <n v="0"/>
    <n v="0"/>
    <n v="0"/>
    <n v="0"/>
    <n v="0"/>
    <m/>
    <m/>
    <m/>
    <m/>
    <m/>
    <m/>
    <m/>
    <m/>
    <m/>
    <n v="109.18059678506584"/>
    <m/>
    <m/>
    <m/>
    <m/>
    <m/>
    <m/>
    <m/>
    <m/>
    <m/>
    <m/>
    <m/>
    <m/>
    <n v="243.14000000000001"/>
    <n v="-15.958650000000006"/>
    <m/>
    <m/>
    <m/>
    <m/>
    <n v="-22.309600000000007"/>
    <n v="3.3417000000000034"/>
    <n v="31"/>
    <n v="5.1648780786164821"/>
    <n v="0"/>
    <n v="0"/>
    <n v="0"/>
    <n v="0"/>
    <n v="0"/>
    <n v="0"/>
    <n v="0"/>
    <n v="1.1280471005789572"/>
    <n v="0"/>
    <n v="0"/>
    <n v="4.4040710607031883"/>
    <n v="0"/>
    <n v="0"/>
    <n v="0"/>
    <n v="0.59748189721572942"/>
    <n v="0"/>
    <n v="-7.1681532074775234E-2"/>
    <m/>
    <n v="0"/>
    <n v="0"/>
    <n v="0"/>
    <n v="0"/>
    <n v="-2.2507832728634103E-2"/>
    <n v="-3.994614103971883E-2"/>
    <n v="0"/>
    <n v="-0.83058647403827479"/>
    <m/>
    <m/>
    <m/>
    <n v="105.27747826750834"/>
    <n v="0"/>
    <n v="0"/>
    <n v="-22.309600000000017"/>
    <n v="3.341700000000003"/>
    <n v="0"/>
    <n v="0"/>
    <n v="-24.132073559898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1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52"/>
    <s v="Regular"/>
    <s v="Branca"/>
    <s v="B3"/>
    <s v="Comercial"/>
    <s v="Não se aplica"/>
    <s v="Não se aplica"/>
    <s v="Não se aplica"/>
    <s v="Intermediário"/>
    <s v="CATIVO"/>
    <x v="8"/>
    <n v="0"/>
    <n v="0"/>
    <n v="1.2999999999999999E-2"/>
    <n v="1.2999999999999999E-2"/>
    <n v="1.2999999999999999E-2"/>
    <n v="1.2999999999999999E-2"/>
    <m/>
    <n v="1097.8699999999999"/>
    <n v="243.39"/>
    <m/>
    <n v="17.436379999999996"/>
    <n v="17.436379999999996"/>
    <n v="15.310489999999998"/>
    <n v="0"/>
    <n v="0.32348520704756878"/>
    <n v="0"/>
    <n v="0"/>
    <n v="0"/>
    <n v="2.9707672424134768"/>
    <n v="10.394479101497607"/>
    <n v="3.1640341824163536"/>
    <n v="0"/>
    <n v="0"/>
    <n v="0"/>
    <n v="0"/>
    <n v="0"/>
    <n v="0.13206818073036899"/>
    <m/>
    <n v="2.231932846204359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2925128139593954"/>
    <n v="0"/>
    <n v="0"/>
    <n v="0"/>
    <n v="0"/>
    <n v="0"/>
    <m/>
    <m/>
    <m/>
    <m/>
    <m/>
    <m/>
    <m/>
    <m/>
    <m/>
    <n v="3.5932854638122933"/>
    <m/>
    <m/>
    <m/>
    <m/>
    <m/>
    <m/>
    <m/>
    <m/>
    <m/>
    <m/>
    <m/>
    <m/>
    <n v="11.7773"/>
    <n v="-5.689079999999997"/>
    <m/>
    <m/>
    <m/>
    <m/>
    <n v="-2.2358699999999985"/>
    <n v="0.10998000000000009"/>
    <n v="31"/>
    <n v="0.25681251752363554"/>
    <n v="0"/>
    <n v="0"/>
    <n v="0"/>
    <n v="0"/>
    <n v="0"/>
    <n v="0"/>
    <n v="0"/>
    <n v="0.11137590055988511"/>
    <n v="0"/>
    <n v="0"/>
    <n v="0.14494411085858605"/>
    <n v="0"/>
    <n v="0"/>
    <n v="0"/>
    <n v="1.966396117418856E-2"/>
    <n v="0"/>
    <n v="-2.3591390303090987E-3"/>
    <m/>
    <n v="0"/>
    <n v="0"/>
    <n v="0"/>
    <n v="0"/>
    <n v="-7.4076411511961315E-4"/>
    <n v="-1.3146831228261872E-3"/>
    <n v="0"/>
    <n v="-1.4756868800769551E-2"/>
    <m/>
    <m/>
    <m/>
    <n v="10.394479101497607"/>
    <n v="0"/>
    <n v="0"/>
    <n v="-2.2358699999999985"/>
    <n v="0.10998000000000019"/>
    <n v="0"/>
    <n v="0"/>
    <n v="-2.3826590304223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3"/>
    <s v="Regular"/>
    <s v="Convencional"/>
    <s v="B2"/>
    <s v="Rural"/>
    <s v="Não se aplica"/>
    <s v="Não se aplica"/>
    <s v="Não se aplica"/>
    <s v="Não se aplica"/>
    <s v="CATIVO"/>
    <x v="8"/>
    <n v="0"/>
    <n v="0"/>
    <n v="196.99100000000001"/>
    <n v="196.99100000000001"/>
    <n v="196.99100000000001"/>
    <n v="196.99100000000001"/>
    <m/>
    <n v="597.01"/>
    <n v="243.39"/>
    <m/>
    <n v="165551.23639999999"/>
    <n v="165551.23639999999"/>
    <n v="149965.30848000001"/>
    <n v="0"/>
    <n v="4901.8211093467407"/>
    <n v="0"/>
    <n v="0"/>
    <n v="0"/>
    <n v="23085.191223538932"/>
    <n v="80773.899031558976"/>
    <n v="47945.096740644614"/>
    <n v="0"/>
    <n v="0"/>
    <n v="0"/>
    <n v="0"/>
    <n v="0"/>
    <n v="2001.2494607889323"/>
    <m/>
    <n v="338.208217928187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04.5107056513489"/>
    <n v="0"/>
    <n v="118.66"/>
    <n v="548.22"/>
    <n v="0"/>
    <n v="1715"/>
    <m/>
    <m/>
    <m/>
    <m/>
    <m/>
    <n v="17997.097759999997"/>
    <m/>
    <m/>
    <m/>
    <n v="54449.607446295966"/>
    <m/>
    <m/>
    <m/>
    <m/>
    <m/>
    <m/>
    <m/>
    <m/>
    <m/>
    <m/>
    <m/>
    <m/>
    <n v="131967.54080000002"/>
    <n v="-13717.183250000002"/>
    <m/>
    <m/>
    <m/>
    <m/>
    <n v="-17252.47178"/>
    <n v="1666.5438600000016"/>
    <n v="31"/>
    <n v="2930.0092687308352"/>
    <n v="0"/>
    <n v="0"/>
    <n v="0"/>
    <n v="0"/>
    <n v="0"/>
    <n v="0"/>
    <n v="0"/>
    <n v="865.47809111770766"/>
    <n v="0"/>
    <n v="0"/>
    <n v="2196.3604109341322"/>
    <n v="0"/>
    <n v="0"/>
    <n v="0"/>
    <n v="297.97102889727557"/>
    <n v="0"/>
    <n v="-35.748396670739567"/>
    <m/>
    <n v="0"/>
    <n v="0"/>
    <n v="0"/>
    <n v="0"/>
    <n v="-11.22491260011725"/>
    <n v="-19.921595619127231"/>
    <n v="0"/>
    <n v="-362.90535732827385"/>
    <m/>
    <m/>
    <m/>
    <n v="80773.899031558976"/>
    <n v="0"/>
    <n v="0"/>
    <n v="-17252.471779999993"/>
    <n v="1666.5438599999979"/>
    <n v="0"/>
    <n v="0"/>
    <n v="-18515.27701106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4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8.8620000000000001"/>
    <n v="8.8620000000000001"/>
    <n v="8.8620000000000001"/>
    <n v="8.8620000000000001"/>
    <m/>
    <n v="597.01"/>
    <n v="243.39"/>
    <m/>
    <n v="7447.6247999999996"/>
    <n v="7447.6247999999996"/>
    <n v="6746.4633599999997"/>
    <n v="0"/>
    <n v="220.51737729658115"/>
    <n v="0"/>
    <n v="0"/>
    <n v="0"/>
    <n v="1038.5294994339945"/>
    <n v="3633.7614064483942"/>
    <n v="2156.8977634287485"/>
    <n v="0"/>
    <n v="0"/>
    <n v="0"/>
    <n v="0"/>
    <n v="0"/>
    <n v="90.029862894809995"/>
    <m/>
    <n v="15.214914525433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2.61729659467818"/>
    <n v="0"/>
    <n v="0"/>
    <n v="0"/>
    <n v="0"/>
    <n v="8"/>
    <m/>
    <m/>
    <m/>
    <m/>
    <m/>
    <n v="809.63231999999994"/>
    <m/>
    <m/>
    <m/>
    <n v="2449.5150600234265"/>
    <m/>
    <m/>
    <m/>
    <m/>
    <m/>
    <m/>
    <m/>
    <m/>
    <m/>
    <m/>
    <m/>
    <m/>
    <n v="5935.4912000000004"/>
    <n v="-618.4309000000012"/>
    <m/>
    <m/>
    <m/>
    <m/>
    <n v="-776.13395999999989"/>
    <n v="74.972520000000074"/>
    <n v="31"/>
    <n v="131.81181952217594"/>
    <n v="0"/>
    <n v="0"/>
    <n v="0"/>
    <n v="0"/>
    <n v="0"/>
    <n v="0"/>
    <n v="0"/>
    <n v="38.935112992396171"/>
    <n v="0"/>
    <n v="0"/>
    <n v="98.807285417598905"/>
    <n v="0"/>
    <n v="0"/>
    <n v="0"/>
    <n v="13.40477107120455"/>
    <n v="0"/>
    <n v="-1.608206929738401"/>
    <m/>
    <n v="0"/>
    <n v="0"/>
    <n v="0"/>
    <n v="0"/>
    <n v="-0.50497319909152338"/>
    <n v="-0.8962093718835149"/>
    <n v="0"/>
    <n v="-16.325960458311105"/>
    <m/>
    <m/>
    <m/>
    <n v="3633.7614064483942"/>
    <n v="0"/>
    <n v="0"/>
    <n v="-776.13396000000012"/>
    <n v="74.972519999999804"/>
    <n v="0"/>
    <n v="0"/>
    <n v="-832.94356022392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5"/>
    <s v="Regular"/>
    <s v="Branca"/>
    <s v="B2"/>
    <s v="Rural"/>
    <s v="Não se aplica"/>
    <s v="Não se aplica"/>
    <s v="Não se aplica"/>
    <s v="Ponta"/>
    <s v="CATIVO"/>
    <x v="8"/>
    <n v="0"/>
    <n v="0"/>
    <n v="4.2000000000000003E-2"/>
    <n v="4.2000000000000003E-2"/>
    <n v="4.2000000000000003E-2"/>
    <n v="4.2000000000000003E-2"/>
    <m/>
    <n v="1298.56"/>
    <n v="214.18"/>
    <m/>
    <n v="63.535080000000008"/>
    <n v="63.535080000000008"/>
    <n v="55.138020000000012"/>
    <n v="0"/>
    <n v="0.91969332711370388"/>
    <n v="0"/>
    <n v="0"/>
    <n v="0"/>
    <n v="11.549504643445818"/>
    <n v="40.410964257330619"/>
    <n v="8.9955925678544943"/>
    <n v="0"/>
    <n v="0"/>
    <n v="0"/>
    <n v="0"/>
    <n v="0"/>
    <n v="0.37547999690726414"/>
    <m/>
    <n v="6.34555676890102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203944123379946"/>
    <n v="0"/>
    <n v="0"/>
    <n v="0"/>
    <n v="0"/>
    <n v="0"/>
    <m/>
    <m/>
    <m/>
    <m/>
    <m/>
    <m/>
    <m/>
    <m/>
    <m/>
    <n v="10.21598698019249"/>
    <m/>
    <m/>
    <m/>
    <m/>
    <m/>
    <m/>
    <m/>
    <m/>
    <m/>
    <m/>
    <m/>
    <m/>
    <n v="52.512400000000007"/>
    <n v="-11.052679999999995"/>
    <m/>
    <m/>
    <m/>
    <m/>
    <n v="-8.7099599999999953"/>
    <n v="0.31289999999999957"/>
    <n v="31"/>
    <n v="0.86619644271807417"/>
    <n v="0"/>
    <n v="0"/>
    <n v="0"/>
    <n v="0"/>
    <n v="0"/>
    <n v="0"/>
    <n v="0"/>
    <n v="0.43299806942779817"/>
    <n v="0"/>
    <n v="0"/>
    <n v="0.41208725671793545"/>
    <n v="0"/>
    <n v="0"/>
    <n v="0"/>
    <n v="5.5906154230617622E-2"/>
    <n v="0"/>
    <n v="-6.7072137354012851E-3"/>
    <m/>
    <n v="0"/>
    <n v="0"/>
    <n v="0"/>
    <n v="0"/>
    <n v="-2.1060493611381736E-3"/>
    <n v="-3.7377452476660758E-3"/>
    <n v="0"/>
    <n v="-2.2244029314073571E-2"/>
    <m/>
    <m/>
    <m/>
    <n v="40.410964257330619"/>
    <n v="0"/>
    <n v="0"/>
    <n v="-8.7099599999999953"/>
    <n v="0.31289999999999907"/>
    <n v="0"/>
    <n v="0"/>
    <n v="-9.263143248989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6"/>
    <s v="Regular"/>
    <s v="Branca"/>
    <s v="B2"/>
    <s v="Rural"/>
    <s v="Não se aplica"/>
    <s v="Não se aplica"/>
    <s v="Não se aplica"/>
    <s v="Fora ponta"/>
    <s v="CATIVO"/>
    <x v="8"/>
    <n v="0"/>
    <n v="0"/>
    <n v="0.98799999999999999"/>
    <n v="0.98799999999999999"/>
    <n v="0.98799999999999999"/>
    <n v="0.98799999999999999"/>
    <m/>
    <n v="308.83999999999997"/>
    <n v="214.18"/>
    <m/>
    <n v="516.74375999999995"/>
    <n v="516.74375999999995"/>
    <n v="484.01132000000001"/>
    <n v="0"/>
    <n v="21.634690647341415"/>
    <n v="0"/>
    <n v="0"/>
    <n v="0"/>
    <n v="54.339217828970192"/>
    <n v="190.12406299718225"/>
    <n v="211.61060612000571"/>
    <n v="0"/>
    <n v="0"/>
    <n v="0"/>
    <n v="0"/>
    <n v="0"/>
    <n v="8.8327199272470693"/>
    <m/>
    <n v="1.4927166875414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708325699760444"/>
    <n v="0"/>
    <n v="0"/>
    <n v="0"/>
    <n v="0"/>
    <n v="0"/>
    <m/>
    <m/>
    <m/>
    <m/>
    <m/>
    <m/>
    <m/>
    <m/>
    <m/>
    <n v="240.31893181976616"/>
    <m/>
    <m/>
    <m/>
    <m/>
    <m/>
    <m/>
    <m/>
    <m/>
    <m/>
    <m/>
    <m/>
    <m/>
    <n v="484.99110000000002"/>
    <n v="-31.782659999999908"/>
    <m/>
    <m/>
    <m/>
    <m/>
    <n v="-40.093039999999981"/>
    <n v="7.3605999999999883"/>
    <n v="31"/>
    <n v="10.847216732995889"/>
    <n v="0"/>
    <n v="0"/>
    <n v="0"/>
    <n v="0"/>
    <n v="0"/>
    <n v="0"/>
    <n v="0"/>
    <n v="2.0372108709885453"/>
    <n v="0"/>
    <n v="0"/>
    <n v="9.693862134221888"/>
    <n v="0"/>
    <n v="0"/>
    <n v="0"/>
    <n v="1.3151257233297677"/>
    <n v="0"/>
    <n v="-0.15777921834705921"/>
    <m/>
    <n v="0"/>
    <n v="0"/>
    <n v="0"/>
    <n v="0"/>
    <n v="-4.9542304019153605E-2"/>
    <n v="-8.7926007254621075E-2"/>
    <n v="0"/>
    <n v="-1.9037344659234914"/>
    <m/>
    <m/>
    <m/>
    <n v="190.12406299718225"/>
    <n v="0"/>
    <n v="0"/>
    <n v="-40.093039999999974"/>
    <n v="7.3606000000000051"/>
    <n v="0"/>
    <n v="0"/>
    <n v="-43.580905899898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7"/>
    <s v="Regular"/>
    <s v="Branca"/>
    <s v="B2"/>
    <s v="Rural"/>
    <s v="Não se aplica"/>
    <s v="Não se aplica"/>
    <s v="Não se aplica"/>
    <s v="Não se aplica"/>
    <s v="CATIVO"/>
    <x v="8"/>
    <n v="0"/>
    <n v="0"/>
    <n v="0.14799999999999999"/>
    <n v="0.14799999999999999"/>
    <n v="0.14799999999999999"/>
    <n v="0.14799999999999999"/>
    <m/>
    <n v="597.01"/>
    <n v="243.39"/>
    <m/>
    <n v="124.3792"/>
    <n v="124.3792"/>
    <n v="112.66943999999999"/>
    <n v="0"/>
    <n v="3.6827546648492446"/>
    <n v="0"/>
    <n v="0"/>
    <n v="0"/>
    <n v="17.343981710249512"/>
    <n v="60.685701664902091"/>
    <n v="36.021312230586183"/>
    <n v="0"/>
    <n v="0"/>
    <n v="0"/>
    <n v="0"/>
    <n v="0"/>
    <n v="1.5035454421611238"/>
    <m/>
    <n v="0.2540969701832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86860742046081"/>
    <n v="0"/>
    <n v="1.27"/>
    <n v="5.88"/>
    <n v="0"/>
    <n v="8"/>
    <m/>
    <m/>
    <m/>
    <m/>
    <m/>
    <n v="13.521279999999997"/>
    <m/>
    <m/>
    <m/>
    <n v="40.908172972632265"/>
    <m/>
    <m/>
    <m/>
    <m/>
    <m/>
    <m/>
    <m/>
    <m/>
    <m/>
    <m/>
    <m/>
    <m/>
    <n v="100.488"/>
    <n v="-8.9954000000000036"/>
    <m/>
    <m/>
    <m/>
    <m/>
    <n v="-12.961839999999997"/>
    <n v="1.2520800000000012"/>
    <n v="31"/>
    <n v="2.2013258056061815"/>
    <n v="0"/>
    <n v="0"/>
    <n v="0"/>
    <n v="0"/>
    <n v="0"/>
    <n v="0"/>
    <n v="0"/>
    <n v="0.65023659702941217"/>
    <n v="0"/>
    <n v="0"/>
    <n v="1.6501329543900525"/>
    <n v="0"/>
    <n v="0"/>
    <n v="0"/>
    <n v="0.22386663490614644"/>
    <n v="0"/>
    <n v="-2.6857890498903192E-2"/>
    <m/>
    <n v="0"/>
    <n v="0"/>
    <n v="0"/>
    <n v="0"/>
    <n v="-8.4333145413615362E-3"/>
    <n v="-1.4967161706021248E-2"/>
    <n v="0"/>
    <n v="-0.27265201397314864"/>
    <m/>
    <m/>
    <m/>
    <n v="60.685701664902091"/>
    <n v="0"/>
    <n v="0"/>
    <n v="-12.961839999999995"/>
    <n v="1.2520799999999994"/>
    <n v="0"/>
    <n v="0"/>
    <n v="-13.910589811909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8"/>
    <s v="Regular"/>
    <s v="Branca"/>
    <s v="B2"/>
    <s v="Rural"/>
    <s v="Não se aplica"/>
    <s v="Não se aplica"/>
    <s v="Não se aplica"/>
    <s v="Intermediário"/>
    <s v="CATIVO"/>
    <x v="8"/>
    <n v="0"/>
    <n v="0"/>
    <n v="4.2000000000000003E-2"/>
    <n v="4.2000000000000003E-2"/>
    <n v="4.2000000000000003E-2"/>
    <n v="4.2000000000000003E-2"/>
    <m/>
    <n v="803.7"/>
    <n v="214.18"/>
    <m/>
    <n v="42.750960000000006"/>
    <n v="42.750960000000006"/>
    <n v="37.856700000000004"/>
    <n v="0"/>
    <n v="0.91969332711370388"/>
    <n v="0"/>
    <n v="0"/>
    <n v="0"/>
    <n v="6.9297335595806642"/>
    <n v="24.246570237327273"/>
    <n v="8.9955925678544943"/>
    <n v="0"/>
    <n v="0"/>
    <n v="0"/>
    <n v="0"/>
    <n v="0"/>
    <n v="0.37547999690726414"/>
    <m/>
    <n v="6.34555676890102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203944123379946"/>
    <n v="0"/>
    <n v="0"/>
    <n v="0"/>
    <n v="0"/>
    <n v="0"/>
    <m/>
    <m/>
    <m/>
    <m/>
    <m/>
    <m/>
    <m/>
    <m/>
    <m/>
    <n v="10.21598698019249"/>
    <m/>
    <m/>
    <m/>
    <m/>
    <m/>
    <m/>
    <m/>
    <m/>
    <m/>
    <m/>
    <m/>
    <m/>
    <n v="36.054000000000002"/>
    <n v="-6.7269599999999983"/>
    <m/>
    <m/>
    <m/>
    <m/>
    <n v="-5.2071600000000009"/>
    <n v="0.31289999999999957"/>
    <n v="31"/>
    <n v="0.66365637394341803"/>
    <n v="0"/>
    <n v="0"/>
    <n v="0"/>
    <n v="0"/>
    <n v="0"/>
    <n v="0"/>
    <n v="0"/>
    <n v="0.25979999537469656"/>
    <n v="0"/>
    <n v="0"/>
    <n v="0.41208725671793545"/>
    <n v="0"/>
    <n v="0"/>
    <n v="0"/>
    <n v="5.5906154230617622E-2"/>
    <n v="0"/>
    <n v="-6.7072137354012851E-3"/>
    <m/>
    <n v="0"/>
    <n v="0"/>
    <n v="0"/>
    <n v="0"/>
    <n v="-2.1060493611381736E-3"/>
    <n v="-3.7377452476660758E-3"/>
    <n v="0"/>
    <n v="-5.1586024035626218E-2"/>
    <m/>
    <m/>
    <m/>
    <n v="24.246570237327273"/>
    <n v="0"/>
    <n v="0"/>
    <n v="-5.2071599999999982"/>
    <n v="0.31289999999999907"/>
    <n v="0"/>
    <n v="0"/>
    <n v="-5.55788404292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59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16.475000000000001"/>
    <n v="16.475000000000001"/>
    <n v="16.475000000000001"/>
    <n v="16.475000000000001"/>
    <m/>
    <n v="597.01"/>
    <n v="243.39"/>
    <m/>
    <n v="13845.59"/>
    <n v="13845.59"/>
    <n v="12542.088000000002"/>
    <n v="0"/>
    <n v="409.95529123913053"/>
    <n v="0"/>
    <n v="0"/>
    <n v="0"/>
    <n v="1930.6898559213564"/>
    <n v="6755.3846954679866"/>
    <n v="4009.8048581007256"/>
    <n v="0"/>
    <n v="0"/>
    <n v="0"/>
    <n v="0"/>
    <n v="0"/>
    <n v="167.37102134867916"/>
    <m/>
    <n v="28.2854566470898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3.99345084600805"/>
    <n v="0"/>
    <n v="16.21"/>
    <n v="74.78"/>
    <n v="1574.43"/>
    <n v="30"/>
    <m/>
    <m/>
    <m/>
    <m/>
    <m/>
    <m/>
    <m/>
    <m/>
    <m/>
    <n v="4553.7983089467334"/>
    <m/>
    <m/>
    <m/>
    <m/>
    <m/>
    <m/>
    <m/>
    <m/>
    <m/>
    <m/>
    <m/>
    <m/>
    <n v="12545.894400000001"/>
    <n v="-1299.7255999999998"/>
    <m/>
    <m/>
    <m/>
    <m/>
    <n v="-1442.8804999999998"/>
    <n v="139.37850000000014"/>
    <n v="31"/>
    <n v="245.04623410379463"/>
    <n v="0"/>
    <n v="0"/>
    <n v="0"/>
    <n v="0"/>
    <n v="0"/>
    <n v="0"/>
    <n v="0"/>
    <n v="72.382756324726643"/>
    <n v="0"/>
    <n v="0"/>
    <n v="183.68878664578506"/>
    <n v="0"/>
    <n v="0"/>
    <n v="0"/>
    <n v="24.920289257289028"/>
    <n v="0"/>
    <n v="-2.989755040334046"/>
    <m/>
    <n v="0"/>
    <n v="0"/>
    <n v="0"/>
    <n v="0"/>
    <n v="-0.9387760612765419"/>
    <n v="-1.666108034504731"/>
    <n v="0"/>
    <n v="-30.35095898788936"/>
    <m/>
    <m/>
    <m/>
    <n v="6755.3846954679866"/>
    <n v="0"/>
    <n v="0"/>
    <n v="-1442.8804999999993"/>
    <n v="139.37850000000026"/>
    <n v="0"/>
    <n v="0"/>
    <n v="-1548.4930212919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0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132.09399999999999"/>
    <n v="132.09399999999999"/>
    <n v="132.09399999999999"/>
    <n v="132.09399999999999"/>
    <m/>
    <n v="328.35"/>
    <n v="133.86000000000001"/>
    <m/>
    <n v="61055.167739999997"/>
    <n v="61055.167739999997"/>
    <n v="55307.757799999992"/>
    <n v="0"/>
    <n v="1807.826939758299"/>
    <n v="0"/>
    <n v="0"/>
    <n v="0"/>
    <n v="8513.9848379630712"/>
    <n v="29789.995889513346"/>
    <n v="17682.497093127567"/>
    <n v="0"/>
    <n v="0"/>
    <n v="0"/>
    <n v="0"/>
    <n v="0"/>
    <n v="738.07521892065756"/>
    <m/>
    <n v="124.7336273558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98.9104092764196"/>
    <n v="0"/>
    <n v="0"/>
    <n v="0"/>
    <n v="0"/>
    <n v="5"/>
    <m/>
    <m/>
    <m/>
    <m/>
    <m/>
    <m/>
    <m/>
    <m/>
    <m/>
    <n v="20081.407502403988"/>
    <m/>
    <m/>
    <m/>
    <m/>
    <m/>
    <m/>
    <m/>
    <m/>
    <m/>
    <m/>
    <m/>
    <m/>
    <n v="55306.083000000006"/>
    <n v="-5749.1147399999973"/>
    <m/>
    <m/>
    <m/>
    <m/>
    <n v="-6362.9679800000022"/>
    <n v="615.55803999999955"/>
    <n v="31"/>
    <n v="1080.6085272375167"/>
    <n v="0"/>
    <n v="0"/>
    <n v="0"/>
    <n v="0"/>
    <n v="0"/>
    <n v="0"/>
    <n v="0"/>
    <n v="319.1945552459365"/>
    <n v="0"/>
    <n v="0"/>
    <n v="810.03354298958584"/>
    <n v="0"/>
    <n v="0"/>
    <n v="0"/>
    <n v="109.89386215681998"/>
    <n v="0"/>
    <n v="-13.184266237564088"/>
    <m/>
    <n v="0"/>
    <n v="0"/>
    <n v="0"/>
    <n v="0"/>
    <n v="-4.139828635569188"/>
    <n v="-7.3472279872795383"/>
    <n v="0"/>
    <n v="-133.84211029441292"/>
    <m/>
    <m/>
    <m/>
    <n v="29789.995889513346"/>
    <n v="0"/>
    <n v="0"/>
    <n v="-6362.9679800000013"/>
    <n v="615.55803999999989"/>
    <n v="0"/>
    <n v="0"/>
    <n v="-6828.567552958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1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55.542000000000002"/>
    <n v="52.209479999999999"/>
    <n v="55.542000000000002"/>
    <n v="52.209479999999999"/>
    <m/>
    <n v="597.01"/>
    <n v="243.39"/>
    <m/>
    <n v="46677.496799999994"/>
    <n v="46677.496799999994"/>
    <n v="42283.013760000002"/>
    <n v="0"/>
    <n v="1382.0781053720052"/>
    <n v="0"/>
    <n v="0"/>
    <n v="0"/>
    <n v="6508.9150820991781"/>
    <n v="22774.359742378325"/>
    <n v="13518.214350751472"/>
    <n v="0"/>
    <n v="0"/>
    <n v="0"/>
    <n v="0"/>
    <n v="0"/>
    <n v="564.25622262508887"/>
    <m/>
    <n v="95.3584724183712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3.9595900994827"/>
    <n v="0"/>
    <n v="0"/>
    <n v="0"/>
    <n v="0"/>
    <n v="9"/>
    <m/>
    <m/>
    <m/>
    <m/>
    <n v="2536.9808256000015"/>
    <m/>
    <m/>
    <m/>
    <m/>
    <n v="15352.173940850955"/>
    <m/>
    <m/>
    <m/>
    <m/>
    <m/>
    <m/>
    <m/>
    <m/>
    <m/>
    <m/>
    <m/>
    <m/>
    <n v="39746.428800000002"/>
    <n v="-4130.4481919999962"/>
    <m/>
    <m/>
    <m/>
    <m/>
    <n v="-4864.3683599999995"/>
    <n v="469.88532000000043"/>
    <n v="31"/>
    <n v="826.12187766877832"/>
    <n v="0"/>
    <n v="0"/>
    <n v="0"/>
    <n v="0"/>
    <n v="0"/>
    <n v="0"/>
    <n v="0"/>
    <n v="244.02325048788953"/>
    <n v="0"/>
    <n v="0"/>
    <n v="619.26813886981472"/>
    <n v="0"/>
    <n v="0"/>
    <n v="0"/>
    <n v="84.013517810521762"/>
    <n v="0"/>
    <n v="-10.079330770879096"/>
    <m/>
    <n v="0"/>
    <n v="0"/>
    <n v="0"/>
    <n v="0"/>
    <n v="-3.1648861909210382"/>
    <n v="-5.6169330775394002"/>
    <n v="0"/>
    <n v="-102.32187946011233"/>
    <m/>
    <m/>
    <m/>
    <n v="22774.359742378325"/>
    <n v="0"/>
    <n v="0"/>
    <n v="-4864.3683599999968"/>
    <n v="469.88532000000123"/>
    <n v="0"/>
    <n v="0"/>
    <n v="-5220.4187792774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2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3.7850000000000001"/>
    <n v="3.7850000000000001"/>
    <n v="3.7850000000000001"/>
    <n v="3.7850000000000001"/>
    <m/>
    <n v="597.01"/>
    <n v="243.39"/>
    <m/>
    <n v="3180.9140000000002"/>
    <n v="3180.9140000000002"/>
    <n v="2881.4448000000002"/>
    <n v="0"/>
    <n v="94.183962205772914"/>
    <n v="0"/>
    <n v="0"/>
    <n v="0"/>
    <n v="443.56061333307031"/>
    <n v="1551.9958162273947"/>
    <n v="921.22072157276159"/>
    <n v="0"/>
    <n v="0"/>
    <n v="0"/>
    <n v="0"/>
    <n v="0"/>
    <n v="38.452158774188206"/>
    <m/>
    <n v="6.49835832529500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97816154489472"/>
    <n v="0"/>
    <n v="0"/>
    <n v="0"/>
    <n v="1139.6400000000001"/>
    <n v="3"/>
    <m/>
    <m/>
    <m/>
    <m/>
    <m/>
    <m/>
    <m/>
    <m/>
    <m/>
    <n v="1046.1988831176564"/>
    <m/>
    <m/>
    <m/>
    <m/>
    <m/>
    <m/>
    <m/>
    <m/>
    <m/>
    <m/>
    <m/>
    <m/>
    <n v="2885.2512000000002"/>
    <n v="-295.69280000000072"/>
    <m/>
    <m/>
    <m/>
    <m/>
    <n v="-331.49029999999993"/>
    <n v="32.021100000000033"/>
    <n v="31"/>
    <n v="56.297420096077076"/>
    <n v="0"/>
    <n v="0"/>
    <n v="0"/>
    <n v="0"/>
    <n v="0"/>
    <n v="0"/>
    <n v="0"/>
    <n v="16.629361619975157"/>
    <n v="0"/>
    <n v="0"/>
    <n v="42.201035353826683"/>
    <n v="0"/>
    <n v="0"/>
    <n v="0"/>
    <n v="5.725237926484894"/>
    <n v="0"/>
    <n v="-0.68687240228614144"/>
    <m/>
    <n v="0"/>
    <n v="0"/>
    <n v="0"/>
    <n v="0"/>
    <n v="-0.21567632120982694"/>
    <n v="-0.38277504768439474"/>
    <n v="0"/>
    <n v="-6.9728910330295122"/>
    <m/>
    <m/>
    <m/>
    <n v="1551.9958162273947"/>
    <n v="0"/>
    <n v="0"/>
    <n v="-331.49029999999993"/>
    <n v="32.021100000000047"/>
    <n v="0"/>
    <n v="0"/>
    <n v="-355.75393539241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3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64"/>
    <s v="Regular"/>
    <s v="Convencional"/>
    <s v="B2"/>
    <s v="Rural"/>
    <s v="Agropecuária rural"/>
    <s v="IRRIG./AQUIC."/>
    <s v="Não se aplica"/>
    <s v="Não se aplica"/>
    <s v="CATIVO"/>
    <x v="8"/>
    <n v="0"/>
    <n v="0"/>
    <n v="6.3410000000000002"/>
    <n v="6.3410000000000002"/>
    <n v="6.3410000000000002"/>
    <n v="6.3410000000000002"/>
    <m/>
    <n v="597.01"/>
    <n v="243.39"/>
    <m/>
    <n v="5328.9763999999996"/>
    <n v="5328.9763999999996"/>
    <n v="4827.2764800000004"/>
    <n v="0"/>
    <n v="157.78613060681798"/>
    <n v="0"/>
    <n v="0"/>
    <n v="0"/>
    <n v="743.09586503170374"/>
    <n v="2600.0542855212443"/>
    <n v="1543.318519284777"/>
    <n v="0"/>
    <n v="0"/>
    <n v="0"/>
    <n v="0"/>
    <n v="0"/>
    <n v="64.418794923943835"/>
    <m/>
    <n v="10.886681675216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.37556733320406"/>
    <n v="0"/>
    <n v="0"/>
    <n v="0"/>
    <n v="0"/>
    <n v="0"/>
    <m/>
    <m/>
    <m/>
    <m/>
    <m/>
    <n v="579.31376"/>
    <m/>
    <m/>
    <m/>
    <n v="1752.6940866179812"/>
    <m/>
    <m/>
    <m/>
    <m/>
    <m/>
    <m/>
    <m/>
    <m/>
    <m/>
    <m/>
    <m/>
    <m/>
    <n v="4247.2928000000002"/>
    <n v="-442.22375000000102"/>
    <m/>
    <m/>
    <m/>
    <m/>
    <n v="-555.3447799999999"/>
    <n v="53.644860000000051"/>
    <n v="31"/>
    <n v="94.314911711815512"/>
    <n v="0"/>
    <n v="0"/>
    <n v="0"/>
    <n v="0"/>
    <n v="0"/>
    <n v="0"/>
    <n v="0"/>
    <n v="27.859123390293917"/>
    <n v="0"/>
    <n v="0"/>
    <n v="70.699277458022607"/>
    <n v="0"/>
    <n v="0"/>
    <n v="0"/>
    <n v="9.591475215809993"/>
    <n v="0"/>
    <n v="-1.150715430091509"/>
    <m/>
    <n v="0"/>
    <n v="0"/>
    <n v="0"/>
    <n v="0"/>
    <n v="-0.36132194261334405"/>
    <n v="-0.64126197552621989"/>
    <n v="0"/>
    <n v="-11.681665004079296"/>
    <m/>
    <m/>
    <m/>
    <n v="2600.0542855212443"/>
    <n v="0"/>
    <n v="0"/>
    <n v="-555.3447799999999"/>
    <n v="53.644859999999881"/>
    <n v="0"/>
    <n v="0"/>
    <n v="-595.99358106295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5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8.2620000000000005"/>
    <n v="2.2307399999999999"/>
    <n v="8.2620000000000005"/>
    <n v="2.2307399999999999"/>
    <m/>
    <n v="597.01"/>
    <n v="243.39"/>
    <m/>
    <n v="6943.3847999999998"/>
    <n v="6943.3847999999998"/>
    <n v="6289.6953600000006"/>
    <n v="0"/>
    <n v="205.58729081746259"/>
    <n v="0"/>
    <n v="0"/>
    <n v="0"/>
    <n v="968.21606006811805"/>
    <n v="3387.7382915906833"/>
    <n v="2010.8654165479936"/>
    <n v="0"/>
    <n v="0"/>
    <n v="0"/>
    <n v="0"/>
    <n v="0"/>
    <n v="83.934408399562201"/>
    <m/>
    <n v="14.184791673338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.80569899178869"/>
    <n v="0"/>
    <n v="0"/>
    <n v="0"/>
    <n v="0"/>
    <n v="0"/>
    <m/>
    <m/>
    <m/>
    <m/>
    <m/>
    <m/>
    <n v="4795.2780192"/>
    <m/>
    <m/>
    <n v="2283.6711155397825"/>
    <m/>
    <m/>
    <m/>
    <m/>
    <m/>
    <m/>
    <m/>
    <m/>
    <m/>
    <m/>
    <m/>
    <m/>
    <n v="1493.9216000000001"/>
    <n v="-155.85216699999978"/>
    <m/>
    <m/>
    <m/>
    <m/>
    <n v="-723.58595999999989"/>
    <n v="69.896520000000066"/>
    <n v="31"/>
    <n v="122.88752571566465"/>
    <n v="0"/>
    <n v="0"/>
    <n v="0"/>
    <n v="0"/>
    <n v="0"/>
    <n v="0"/>
    <n v="0"/>
    <n v="36.299018680114955"/>
    <n v="0"/>
    <n v="0"/>
    <n v="92.117557224126131"/>
    <n v="0"/>
    <n v="0"/>
    <n v="0"/>
    <n v="12.497203632395838"/>
    <n v="0"/>
    <n v="-1.4993235898779744"/>
    <m/>
    <n v="0"/>
    <n v="0"/>
    <n v="0"/>
    <n v="0"/>
    <n v="-0.47078408608601308"/>
    <n v="-0.83553168929153543"/>
    <n v="0"/>
    <n v="-15.220614455717257"/>
    <m/>
    <m/>
    <m/>
    <n v="3387.7382915906833"/>
    <n v="0"/>
    <n v="0"/>
    <n v="-723.58595999999943"/>
    <n v="69.896520000000237"/>
    <n v="0"/>
    <n v="0"/>
    <n v="-776.54927720266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6"/>
    <s v="Regular"/>
    <s v="Convencional"/>
    <s v="B1"/>
    <s v="Residencial"/>
    <s v="Residencial"/>
    <s v="Não se aplica"/>
    <s v="Não se aplica"/>
    <s v="Não se aplica"/>
    <s v="CATIVO"/>
    <x v="9"/>
    <n v="0"/>
    <n v="0"/>
    <n v="202.458"/>
    <n v="202.458"/>
    <n v="202.458"/>
    <n v="202.458"/>
    <m/>
    <n v="597.01"/>
    <n v="243.39"/>
    <m/>
    <n v="170145.70319999999"/>
    <n v="170145.70319999999"/>
    <n v="154127.22623999999"/>
    <n v="0"/>
    <n v="5037.8590806489756"/>
    <n v="0"/>
    <n v="0"/>
    <n v="0"/>
    <n v="23725.863845227672"/>
    <n v="83015.579646437487"/>
    <n v="49275.694807973094"/>
    <n v="0"/>
    <n v="0"/>
    <n v="0"/>
    <n v="0"/>
    <n v="0"/>
    <n v="2056.7892103314648"/>
    <m/>
    <n v="347.5943539821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85.02737914301"/>
    <n v="0"/>
    <n v="46.81"/>
    <n v="216.63"/>
    <n v="1656.75"/>
    <n v="1842"/>
    <m/>
    <m/>
    <m/>
    <m/>
    <m/>
    <m/>
    <m/>
    <m/>
    <m/>
    <n v="55960.722187116102"/>
    <m/>
    <m/>
    <m/>
    <m/>
    <m/>
    <m/>
    <m/>
    <m/>
    <m/>
    <m/>
    <m/>
    <m/>
    <n v="154128.7488"/>
    <n v="-16016.984400000016"/>
    <m/>
    <m/>
    <m/>
    <m/>
    <n v="-17731.271639999995"/>
    <n v="1712.7946800000016"/>
    <n v="29"/>
    <n v="3011.3244591311959"/>
    <n v="0"/>
    <n v="0"/>
    <n v="0"/>
    <n v="0"/>
    <n v="0"/>
    <n v="0"/>
    <n v="0"/>
    <n v="889.49730379311586"/>
    <n v="0"/>
    <n v="0"/>
    <n v="2257.3149843236606"/>
    <n v="0"/>
    <n v="0"/>
    <n v="0"/>
    <n v="306.24048087722076"/>
    <n v="0"/>
    <n v="-36.740505369100902"/>
    <m/>
    <n v="0"/>
    <n v="0"/>
    <n v="0"/>
    <n v="0"/>
    <n v="-11.53643240145243"/>
    <n v="-20.474470437011121"/>
    <n v="0"/>
    <n v="-372.97690165524148"/>
    <m/>
    <m/>
    <m/>
    <n v="83015.579646437487"/>
    <n v="0"/>
    <n v="0"/>
    <n v="-17731.271640000006"/>
    <n v="1712.7946799999991"/>
    <n v="0"/>
    <n v="0"/>
    <n v="-19029.122919861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7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3.5569999999999999"/>
    <n v="3.5569999999999999"/>
    <n v="3.5569999999999999"/>
    <n v="3.5569999999999999"/>
    <m/>
    <n v="597.01"/>
    <n v="243.39"/>
    <m/>
    <n v="2989.3027999999999"/>
    <n v="2989.3027999999999"/>
    <n v="2707.8729599999997"/>
    <n v="0"/>
    <n v="88.510529343707859"/>
    <n v="0"/>
    <n v="0"/>
    <n v="0"/>
    <n v="416.84150637403724"/>
    <n v="1458.5070325814645"/>
    <n v="865.72842975807464"/>
    <n v="0"/>
    <n v="0"/>
    <n v="0"/>
    <n v="0"/>
    <n v="0"/>
    <n v="36.135886065994036"/>
    <m/>
    <n v="6.1069116414991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44975445579669"/>
    <n v="0"/>
    <n v="0"/>
    <n v="0"/>
    <n v="0"/>
    <n v="16"/>
    <m/>
    <m/>
    <m/>
    <m/>
    <m/>
    <m/>
    <m/>
    <m/>
    <m/>
    <n v="983.1781842138713"/>
    <m/>
    <m/>
    <m/>
    <m/>
    <m/>
    <m/>
    <m/>
    <m/>
    <m/>
    <m/>
    <m/>
    <m/>
    <n v="2710.1567999999997"/>
    <n v="-279.17600000000084"/>
    <m/>
    <m/>
    <m/>
    <m/>
    <n v="-311.52205999999995"/>
    <n v="30.09222000000003"/>
    <n v="29"/>
    <n v="52.906188449602496"/>
    <n v="0"/>
    <n v="0"/>
    <n v="0"/>
    <n v="0"/>
    <n v="0"/>
    <n v="0"/>
    <n v="0"/>
    <n v="15.627645781308274"/>
    <n v="0"/>
    <n v="0"/>
    <n v="39.658938640306928"/>
    <n v="0"/>
    <n v="0"/>
    <n v="0"/>
    <n v="5.3803622997375982"/>
    <n v="0"/>
    <n v="-0.64549673313918277"/>
    <m/>
    <n v="0"/>
    <n v="0"/>
    <n v="0"/>
    <n v="0"/>
    <n v="-0.20268445826772563"/>
    <n v="-0.35971752829944226"/>
    <n v="0"/>
    <n v="-6.5528595520438504"/>
    <m/>
    <m/>
    <m/>
    <n v="1458.5070325814645"/>
    <n v="0"/>
    <n v="0"/>
    <n v="-311.52206000000001"/>
    <n v="30.092219999999998"/>
    <n v="0"/>
    <n v="0"/>
    <n v="-334.3241078443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8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73.319999999999993"/>
    <n v="73.319999999999993"/>
    <n v="73.319999999999993"/>
    <n v="73.319999999999993"/>
    <m/>
    <n v="561.96"/>
    <n v="243.39"/>
    <m/>
    <n v="59048.262000000002"/>
    <n v="59048.262000000002"/>
    <n v="53261.114399999991"/>
    <n v="0"/>
    <n v="0"/>
    <n v="0"/>
    <n v="0"/>
    <n v="0"/>
    <n v="8592.3022905100952"/>
    <n v="30064.024635612303"/>
    <n v="17845.152788828233"/>
    <n v="0"/>
    <n v="0"/>
    <n v="0"/>
    <n v="0"/>
    <n v="0"/>
    <n v="0"/>
    <m/>
    <n v="125.881012525925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0.9772270730991"/>
    <n v="0"/>
    <n v="0"/>
    <n v="0"/>
    <n v="0"/>
    <n v="186"/>
    <m/>
    <m/>
    <m/>
    <m/>
    <m/>
    <m/>
    <m/>
    <n v="34619.504399999998"/>
    <m/>
    <n v="20266.130015901334"/>
    <m/>
    <m/>
    <m/>
    <m/>
    <m/>
    <m/>
    <m/>
    <m/>
    <m/>
    <m/>
    <m/>
    <m/>
    <n v="18641.61"/>
    <n v="-2025.8615999999965"/>
    <m/>
    <m/>
    <m/>
    <m/>
    <n v="-6407.4348000000027"/>
    <n v="620.28720000000055"/>
    <n v="29"/>
    <n v="1104.4049240489621"/>
    <n v="0"/>
    <n v="0"/>
    <n v="0"/>
    <n v="0"/>
    <n v="0"/>
    <n v="0"/>
    <n v="0"/>
    <n v="322.13072496078712"/>
    <n v="0"/>
    <n v="0"/>
    <n v="817.48478524242819"/>
    <n v="0"/>
    <n v="0"/>
    <n v="0"/>
    <n v="110.90474102242342"/>
    <n v="0"/>
    <n v="0"/>
    <m/>
    <n v="0"/>
    <n v="0"/>
    <n v="0"/>
    <n v="0"/>
    <n v="0"/>
    <n v="-7.4148128127396973"/>
    <n v="0"/>
    <n v="-138.70051436393561"/>
    <m/>
    <m/>
    <m/>
    <n v="30064.024635612303"/>
    <n v="0"/>
    <n v="0"/>
    <n v="-6407.4348000000027"/>
    <n v="620.28719999999885"/>
    <n v="0"/>
    <n v="0"/>
    <n v="-6891.3813851972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69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09.57299999999999"/>
    <n v="109.57299999999999"/>
    <n v="109.57299999999999"/>
    <n v="109.57299999999999"/>
    <m/>
    <n v="561.96"/>
    <n v="243.39"/>
    <m/>
    <n v="88244.615550000002"/>
    <n v="88244.615550000002"/>
    <n v="79596.018659999987"/>
    <n v="0"/>
    <n v="0"/>
    <n v="0"/>
    <n v="0"/>
    <n v="0"/>
    <n v="12840.757486061957"/>
    <n v="44929.151273839976"/>
    <n v="26668.670574608241"/>
    <n v="0"/>
    <n v="0"/>
    <n v="0"/>
    <n v="0"/>
    <n v="0"/>
    <n v="0"/>
    <m/>
    <n v="188.12275212088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18.0269735690217"/>
    <n v="0"/>
    <n v="0"/>
    <n v="0"/>
    <n v="0"/>
    <n v="1496"/>
    <m/>
    <m/>
    <m/>
    <m/>
    <m/>
    <m/>
    <m/>
    <n v="31838.626609999996"/>
    <m/>
    <n v="30286.697548177261"/>
    <m/>
    <m/>
    <m/>
    <m/>
    <m/>
    <m/>
    <m/>
    <m/>
    <m/>
    <m/>
    <m/>
    <m/>
    <n v="47756.084499999997"/>
    <n v="-5190.7148300000044"/>
    <m/>
    <m/>
    <m/>
    <m/>
    <n v="-9575.5844700000034"/>
    <n v="926.98758000000078"/>
    <n v="29"/>
    <n v="1650.4768240973353"/>
    <n v="0"/>
    <n v="0"/>
    <n v="0"/>
    <n v="0"/>
    <n v="0"/>
    <n v="0"/>
    <n v="0"/>
    <n v="481.40793679934905"/>
    <n v="0"/>
    <n v="0"/>
    <n v="1221.6893122390647"/>
    <n v="0"/>
    <n v="0"/>
    <n v="0"/>
    <n v="165.74147828764353"/>
    <n v="0"/>
    <n v="0"/>
    <m/>
    <n v="0"/>
    <n v="0"/>
    <n v="0"/>
    <n v="0"/>
    <n v="0"/>
    <n v="-11.081059524418009"/>
    <n v="0"/>
    <n v="-207.28084370430329"/>
    <m/>
    <m/>
    <m/>
    <n v="44929.151273839976"/>
    <n v="0"/>
    <n v="0"/>
    <n v="-9575.5844700000089"/>
    <n v="926.98758000000089"/>
    <n v="0"/>
    <n v="0"/>
    <n v="-10298.81795581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70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35.987000000000002"/>
    <n v="35.987000000000002"/>
    <n v="35.987000000000002"/>
    <n v="35.987000000000002"/>
    <m/>
    <n v="561.96"/>
    <n v="243.39"/>
    <m/>
    <n v="28982.130450000004"/>
    <n v="28982.130450000004"/>
    <n v="26141.67654"/>
    <n v="0"/>
    <n v="0"/>
    <n v="0"/>
    <n v="0"/>
    <n v="0"/>
    <n v="4217.2829040996567"/>
    <n v="14756.056390640755"/>
    <n v="8758.7767786628719"/>
    <n v="0"/>
    <n v="0"/>
    <n v="0"/>
    <n v="0"/>
    <n v="0"/>
    <n v="0"/>
    <m/>
    <n v="61.785051797197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8.2666048919752"/>
    <n v="0"/>
    <n v="0"/>
    <n v="0"/>
    <n v="0"/>
    <n v="690"/>
    <m/>
    <m/>
    <m/>
    <m/>
    <m/>
    <m/>
    <m/>
    <n v="2614.0956799999994"/>
    <m/>
    <n v="9947.0433835548465"/>
    <m/>
    <m/>
    <m/>
    <m/>
    <m/>
    <m/>
    <m/>
    <m/>
    <m/>
    <m/>
    <m/>
    <m/>
    <n v="23529.5422"/>
    <n v="-2554.5851399999956"/>
    <m/>
    <m/>
    <m/>
    <m/>
    <n v="-3144.9039300000018"/>
    <n v="304.45002000000028"/>
    <n v="29"/>
    <n v="542.06519369544367"/>
    <n v="0"/>
    <n v="0"/>
    <n v="0"/>
    <n v="0"/>
    <n v="0"/>
    <n v="0"/>
    <n v="0"/>
    <n v="158.10854336011835"/>
    <n v="0"/>
    <n v="0"/>
    <n v="401.23874749753304"/>
    <n v="0"/>
    <n v="0"/>
    <n v="0"/>
    <n v="54.434382367348007"/>
    <n v="0"/>
    <n v="0"/>
    <m/>
    <n v="0"/>
    <n v="0"/>
    <n v="0"/>
    <n v="0"/>
    <n v="0"/>
    <n v="-3.6393462723958478"/>
    <n v="0"/>
    <n v="-68.07713325715973"/>
    <m/>
    <m/>
    <m/>
    <n v="14756.056390640755"/>
    <n v="0"/>
    <n v="0"/>
    <n v="-3144.9039300000004"/>
    <n v="304.45002000000022"/>
    <n v="0"/>
    <n v="0"/>
    <n v="-3382.4351051431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71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10.814"/>
    <n v="10.814"/>
    <n v="10.814"/>
    <n v="10.814"/>
    <m/>
    <n v="561.96"/>
    <n v="243.39"/>
    <m/>
    <n v="8709.054900000001"/>
    <n v="8709.054900000001"/>
    <n v="7855.5058799999997"/>
    <n v="0"/>
    <n v="0"/>
    <n v="0"/>
    <n v="0"/>
    <n v="0"/>
    <n v="1267.2825555043123"/>
    <n v="4434.156606785481"/>
    <n v="2631.9896652808038"/>
    <n v="0"/>
    <n v="0"/>
    <n v="0"/>
    <n v="0"/>
    <n v="0"/>
    <n v="0"/>
    <m/>
    <n v="18.566247537579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07102746274541"/>
    <n v="0"/>
    <n v="53.54"/>
    <n v="246.89"/>
    <n v="997.7"/>
    <n v="72"/>
    <m/>
    <m/>
    <m/>
    <m/>
    <m/>
    <m/>
    <m/>
    <m/>
    <m/>
    <n v="2989.0606927435492"/>
    <m/>
    <m/>
    <m/>
    <m/>
    <m/>
    <m/>
    <m/>
    <m/>
    <m/>
    <m/>
    <m/>
    <m/>
    <n v="7852.6002000000008"/>
    <n v="-856.48470000000088"/>
    <m/>
    <m/>
    <m/>
    <m/>
    <n v="-945.03546000000051"/>
    <n v="91.486440000000087"/>
    <n v="29"/>
    <n v="162.88918233313416"/>
    <n v="0"/>
    <n v="0"/>
    <n v="0"/>
    <n v="0"/>
    <n v="0"/>
    <n v="0"/>
    <n v="0"/>
    <n v="47.511206488351718"/>
    <n v="0"/>
    <n v="0"/>
    <n v="120.57120114036525"/>
    <n v="0"/>
    <n v="0"/>
    <n v="0"/>
    <n v="16.357390472128884"/>
    <n v="0"/>
    <n v="0"/>
    <m/>
    <n v="0"/>
    <n v="0"/>
    <n v="0"/>
    <n v="0"/>
    <n v="0"/>
    <n v="-1.0936140992494181"/>
    <n v="0"/>
    <n v="-20.457001668461537"/>
    <m/>
    <m/>
    <m/>
    <n v="4434.156606785481"/>
    <n v="0"/>
    <n v="0"/>
    <n v="-945.03546000000097"/>
    <n v="91.48644000000013"/>
    <n v="0"/>
    <n v="0"/>
    <n v="-1016.4129609864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72"/>
    <s v="Regular"/>
    <s v="Branca"/>
    <s v="B1"/>
    <s v="Residencial"/>
    <s v="Residencial"/>
    <s v="Não se aplica"/>
    <s v="Não se aplica"/>
    <s v="Fora ponta"/>
    <s v="CATIVO"/>
    <x v="9"/>
    <n v="0"/>
    <n v="0"/>
    <n v="0.20100000000000001"/>
    <n v="0.20100000000000001"/>
    <n v="0.20100000000000001"/>
    <n v="0.20100000000000001"/>
    <m/>
    <n v="386.11"/>
    <n v="243.39"/>
    <m/>
    <n v="126.52950000000001"/>
    <n v="126.52950000000001"/>
    <n v="117.76992000000001"/>
    <n v="0"/>
    <n v="5.0015789705047178"/>
    <n v="0"/>
    <n v="0"/>
    <n v="0"/>
    <n v="14.132815361478633"/>
    <n v="49.450653624870746"/>
    <n v="48.920836205052858"/>
    <n v="0"/>
    <n v="0"/>
    <n v="0"/>
    <n v="0"/>
    <n v="0"/>
    <n v="2.0419772559080132"/>
    <m/>
    <n v="0.34509115545159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36885196967989"/>
    <n v="0"/>
    <n v="0"/>
    <n v="0"/>
    <n v="0"/>
    <n v="0"/>
    <m/>
    <m/>
    <m/>
    <m/>
    <m/>
    <m/>
    <m/>
    <m/>
    <m/>
    <n v="55.557721402020846"/>
    <m/>
    <m/>
    <m/>
    <m/>
    <m/>
    <m/>
    <m/>
    <m/>
    <m/>
    <m/>
    <m/>
    <m/>
    <n v="117.18400000000001"/>
    <n v="-9.3755000000000166"/>
    <m/>
    <m/>
    <m/>
    <m/>
    <n v="-10.460040000000005"/>
    <n v="1.7004600000000016"/>
    <n v="29"/>
    <n v="2.5765518572813448"/>
    <n v="0"/>
    <n v="0"/>
    <n v="0"/>
    <n v="0"/>
    <n v="0"/>
    <n v="0"/>
    <n v="0"/>
    <n v="0.5298479853482192"/>
    <n v="0"/>
    <n v="0"/>
    <n v="2.2410589448135241"/>
    <n v="0"/>
    <n v="0"/>
    <n v="0"/>
    <n v="0.30403509200091516"/>
    <n v="0"/>
    <n v="-3.6475918853239975E-2"/>
    <m/>
    <n v="0"/>
    <n v="0"/>
    <n v="0"/>
    <n v="0"/>
    <n v="-1.1453352856849452E-2"/>
    <n v="-2.0327023668312572E-2"/>
    <n v="0"/>
    <n v="-0.43013386950291366"/>
    <m/>
    <m/>
    <m/>
    <n v="49.450653624870746"/>
    <n v="0"/>
    <n v="0"/>
    <n v="-10.460040000000006"/>
    <n v="1.7004599999999996"/>
    <n v="0"/>
    <n v="0"/>
    <n v="-11.335252615266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73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74"/>
    <s v="Regular"/>
    <s v="Branca"/>
    <s v="B1"/>
    <s v="Residencial"/>
    <s v="Residencial"/>
    <s v="Não se aplica"/>
    <s v="Não se aplica"/>
    <s v="Intermediário"/>
    <s v="CATIVO"/>
    <x v="9"/>
    <n v="0"/>
    <n v="0"/>
    <n v="2E-3"/>
    <n v="2E-3"/>
    <n v="2E-3"/>
    <n v="2E-3"/>
    <m/>
    <n v="1018.79"/>
    <n v="243.39"/>
    <m/>
    <n v="2.5243600000000002"/>
    <n v="2.5243600000000002"/>
    <n v="2.2239399999999998"/>
    <n v="0"/>
    <n v="4.9766954930395201E-2"/>
    <n v="0"/>
    <n v="0"/>
    <n v="0"/>
    <n v="0.42187901721834603"/>
    <n v="1.4761387266510981"/>
    <n v="0.48677448960251601"/>
    <n v="0"/>
    <n v="0"/>
    <n v="0"/>
    <n v="0"/>
    <n v="0"/>
    <n v="2.0318181650825998E-2"/>
    <m/>
    <n v="3.43374284031440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038658676298392E-2"/>
    <n v="0"/>
    <n v="0"/>
    <n v="0"/>
    <n v="0"/>
    <n v="0"/>
    <m/>
    <m/>
    <m/>
    <m/>
    <m/>
    <m/>
    <m/>
    <m/>
    <m/>
    <n v="0.55281314827881445"/>
    <m/>
    <m/>
    <m/>
    <m/>
    <m/>
    <m/>
    <m/>
    <m/>
    <m/>
    <m/>
    <m/>
    <m/>
    <n v="0"/>
    <n v="-2.5543599999999995"/>
    <m/>
    <m/>
    <m/>
    <m/>
    <n v="-0.3173399999999999"/>
    <n v="1.6920000000000015E-2"/>
    <n v="29"/>
    <n v="3.7968067562393015E-2"/>
    <n v="0"/>
    <n v="0"/>
    <n v="0"/>
    <n v="0"/>
    <n v="0"/>
    <n v="0"/>
    <n v="0"/>
    <n v="1.581650517724198E-2"/>
    <n v="0"/>
    <n v="0"/>
    <n v="2.2299093978244033E-2"/>
    <n v="0"/>
    <n v="0"/>
    <n v="0"/>
    <n v="3.0252247960290135E-3"/>
    <n v="0"/>
    <n v="-3.6294446620139392E-4"/>
    <m/>
    <n v="0"/>
    <n v="0"/>
    <n v="0"/>
    <n v="0"/>
    <n v="-1.1396371001839989E-4"/>
    <n v="-2.0225894197326011E-4"/>
    <n v="0"/>
    <n v="-2.4935892709286997E-3"/>
    <m/>
    <m/>
    <m/>
    <n v="1.4761387266510981"/>
    <n v="0"/>
    <n v="0"/>
    <n v="-0.31734000000000018"/>
    <n v="1.6920000000000046E-2"/>
    <n v="0"/>
    <n v="0"/>
    <n v="-0.33836570672451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75"/>
    <s v="Regular"/>
    <s v="Convencional"/>
    <s v="B3"/>
    <s v="Industrial"/>
    <s v="Não se aplica"/>
    <s v="Não se aplica"/>
    <s v="Não se aplica"/>
    <s v="Não se aplica"/>
    <s v="CATIVO"/>
    <x v="9"/>
    <n v="0"/>
    <n v="0"/>
    <n v="0.39400000000000002"/>
    <n v="0.39400000000000002"/>
    <n v="0.39400000000000002"/>
    <n v="0.39400000000000002"/>
    <m/>
    <n v="597.01"/>
    <n v="243.39"/>
    <m/>
    <n v="331.11760000000004"/>
    <n v="331.11760000000004"/>
    <n v="299.94432"/>
    <n v="0"/>
    <n v="9.8040901212878548"/>
    <n v="0"/>
    <n v="0"/>
    <n v="0"/>
    <n v="46.172491850258837"/>
    <n v="161.55517875656369"/>
    <n v="95.894574451695647"/>
    <n v="0"/>
    <n v="0"/>
    <n v="0"/>
    <n v="0"/>
    <n v="0"/>
    <n v="4.0026817852127214"/>
    <m/>
    <n v="0.67644733954193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09615759230785"/>
    <n v="0"/>
    <n v="0"/>
    <n v="0"/>
    <n v="0"/>
    <n v="3"/>
    <m/>
    <m/>
    <m/>
    <m/>
    <m/>
    <m/>
    <m/>
    <m/>
    <m/>
    <n v="108.90419021092643"/>
    <m/>
    <m/>
    <m/>
    <m/>
    <m/>
    <m/>
    <m/>
    <m/>
    <m/>
    <m/>
    <m/>
    <m/>
    <n v="296.89920000000001"/>
    <n v="-34.248400000000004"/>
    <m/>
    <m/>
    <m/>
    <m/>
    <n v="-34.506519999999995"/>
    <n v="3.3332400000000031"/>
    <n v="29"/>
    <n v="5.8602862662759208"/>
    <n v="0"/>
    <n v="0"/>
    <n v="0"/>
    <n v="0"/>
    <n v="0"/>
    <n v="0"/>
    <n v="0"/>
    <n v="1.73103526506479"/>
    <n v="0"/>
    <n v="0"/>
    <n v="4.3929215137140716"/>
    <n v="0"/>
    <n v="0"/>
    <n v="0"/>
    <n v="0.5959692848177145"/>
    <n v="0"/>
    <n v="-7.1500059841675068E-2"/>
    <m/>
    <n v="0"/>
    <n v="0"/>
    <n v="0"/>
    <n v="0"/>
    <n v="-2.2450850873624528E-2"/>
    <n v="-3.9845011568732214E-2"/>
    <n v="0"/>
    <n v="-0.72584387503662562"/>
    <m/>
    <m/>
    <m/>
    <n v="161.55517875656369"/>
    <n v="0"/>
    <n v="0"/>
    <n v="-34.506519999999995"/>
    <n v="3.3332400000000035"/>
    <n v="0"/>
    <n v="0"/>
    <n v="-37.032245850623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76"/>
    <s v="Regular"/>
    <s v="Verde"/>
    <s v="A4"/>
    <s v="Industrial"/>
    <s v="Não se aplica"/>
    <s v="Não se aplica"/>
    <s v="Não se aplica"/>
    <s v="Ponta"/>
    <s v="CATIVO"/>
    <x v="9"/>
    <n v="0"/>
    <n v="0"/>
    <n v="0.14399999999999999"/>
    <n v="0.14399999999999999"/>
    <n v="0.14399999999999999"/>
    <n v="0.14399999999999999"/>
    <m/>
    <n v="2773.91"/>
    <n v="243.39"/>
    <m/>
    <n v="434.49119999999994"/>
    <n v="434.49119999999994"/>
    <n v="374.02127999999993"/>
    <n v="0"/>
    <n v="3.1174020568399534"/>
    <n v="0"/>
    <n v="0"/>
    <n v="0"/>
    <n v="103.753082774342"/>
    <n v="288.82737357080686"/>
    <n v="35.047763251381149"/>
    <n v="0"/>
    <n v="0"/>
    <n v="0"/>
    <n v="0"/>
    <n v="0"/>
    <n v="1.4629090788594719"/>
    <m/>
    <n v="9.988970706652117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829145660835549"/>
    <n v="0"/>
    <n v="0"/>
    <n v="0"/>
    <n v="0"/>
    <n v="0"/>
    <m/>
    <m/>
    <m/>
    <m/>
    <m/>
    <m/>
    <m/>
    <m/>
    <m/>
    <n v="37.230677817464702"/>
    <m/>
    <m/>
    <m/>
    <m/>
    <m/>
    <m/>
    <m/>
    <m/>
    <m/>
    <m/>
    <m/>
    <m/>
    <n v="363.63180000000006"/>
    <n v="-70.889399999999853"/>
    <m/>
    <m/>
    <m/>
    <m/>
    <n v="-61.688159999999975"/>
    <n v="1.2182400000000011"/>
    <n v="29"/>
    <n v="5.7357410754165414"/>
    <n v="0"/>
    <n v="0"/>
    <n v="0"/>
    <n v="0"/>
    <n v="0"/>
    <n v="0"/>
    <n v="0"/>
    <n v="3.8897672173296627"/>
    <n v="0"/>
    <n v="0"/>
    <n v="1.6055347664335642"/>
    <n v="0"/>
    <n v="0"/>
    <n v="0"/>
    <n v="9.9999112721227412E-2"/>
    <n v="0"/>
    <n v="-2.2734841362854308E-2"/>
    <m/>
    <n v="0"/>
    <n v="0"/>
    <n v="0"/>
    <n v="0"/>
    <n v="-8.205387121324792E-3"/>
    <n v="-5.8838379590021722E-3"/>
    <n v="0"/>
    <n v="0.17726404537522522"/>
    <m/>
    <m/>
    <m/>
    <n v="288.82737357080686"/>
    <n v="0"/>
    <n v="0"/>
    <n v="-61.688159999999982"/>
    <n v="1.2182400000000015"/>
    <n v="0"/>
    <n v="0"/>
    <n v="-66.206025636484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77"/>
    <s v="Regular"/>
    <s v="Verde"/>
    <s v="A4"/>
    <s v="Industrial"/>
    <s v="Não se aplica"/>
    <s v="Não se aplica"/>
    <s v="Não se aplica"/>
    <s v="Fora ponta"/>
    <s v="CATIVO"/>
    <x v="9"/>
    <n v="0"/>
    <n v="0"/>
    <n v="23.384"/>
    <n v="23.384"/>
    <n v="23.384"/>
    <n v="23.384"/>
    <m/>
    <n v="47.66"/>
    <n v="243.39"/>
    <m/>
    <n v="6805.9131999999991"/>
    <n v="6805.9131999999991"/>
    <n v="7015.6676800000005"/>
    <n v="0"/>
    <n v="506.23145623017695"/>
    <n v="0"/>
    <n v="0"/>
    <n v="0"/>
    <n v="0"/>
    <n v="0"/>
    <n v="5691.3673324326173"/>
    <n v="0"/>
    <n v="0"/>
    <n v="0"/>
    <n v="0"/>
    <n v="0"/>
    <n v="237.56017986145758"/>
    <m/>
    <n v="16.2209785419689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.48107092567955"/>
    <n v="0"/>
    <n v="0"/>
    <n v="0"/>
    <n v="0"/>
    <n v="0"/>
    <m/>
    <m/>
    <m/>
    <m/>
    <m/>
    <m/>
    <m/>
    <m/>
    <m/>
    <n v="6045.8484033582972"/>
    <m/>
    <m/>
    <m/>
    <m/>
    <m/>
    <m/>
    <m/>
    <m/>
    <m/>
    <m/>
    <m/>
    <m/>
    <n v="7014.4675999999999"/>
    <n v="208.52440000000024"/>
    <m/>
    <m/>
    <m/>
    <m/>
    <n v="11.92584000000012"/>
    <n v="197.82864000000018"/>
    <n v="29"/>
    <n v="209.76574169150081"/>
    <n v="0"/>
    <n v="0"/>
    <n v="0"/>
    <n v="0"/>
    <n v="0"/>
    <n v="0"/>
    <n v="0"/>
    <n v="0"/>
    <n v="0"/>
    <n v="0"/>
    <n v="260.72100679362848"/>
    <n v="0"/>
    <n v="0"/>
    <n v="0"/>
    <n v="16.238744804674809"/>
    <n v="0"/>
    <n v="-3.6918856279791044"/>
    <m/>
    <n v="0"/>
    <n v="0"/>
    <n v="0"/>
    <n v="0"/>
    <n v="-1.3324636975351325"/>
    <n v="-0.95546990856463054"/>
    <n v="0"/>
    <n v="-61.214190672723156"/>
    <m/>
    <m/>
    <m/>
    <n v="0"/>
    <n v="0"/>
    <n v="0"/>
    <n v="11.925840000000107"/>
    <n v="197.82864000000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78"/>
    <s v="Regular"/>
    <s v="Verde"/>
    <s v="A4"/>
    <s v="Industrial"/>
    <s v="Não se aplica"/>
    <s v="Não se aplica"/>
    <s v="Não se aplica"/>
    <s v="Não se aplica"/>
    <s v="CATIVO"/>
    <x v="9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n v="29"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279"/>
    <s v="Regular"/>
    <s v="Convencional"/>
    <s v="B3"/>
    <s v="Comercial"/>
    <s v="Não se aplica"/>
    <s v="Não se aplica"/>
    <s v="Não se aplica"/>
    <s v="Não se aplica"/>
    <s v="CATIVO"/>
    <x v="9"/>
    <n v="0"/>
    <n v="0"/>
    <n v="61.658000000000001"/>
    <n v="61.658000000000001"/>
    <n v="61.658000000000001"/>
    <n v="61.658000000000001"/>
    <m/>
    <n v="597.01"/>
    <n v="243.39"/>
    <m/>
    <n v="51817.383200000004"/>
    <n v="51817.383200000004"/>
    <n v="46939.002240000002"/>
    <n v="0"/>
    <n v="1534.2654535491538"/>
    <n v="0"/>
    <n v="0"/>
    <n v="0"/>
    <n v="7225.6434073686787"/>
    <n v="25282.155359827928"/>
    <n v="15006.770739955966"/>
    <n v="0"/>
    <n v="0"/>
    <n v="0"/>
    <n v="0"/>
    <n v="0"/>
    <n v="626.38922211331476"/>
    <m/>
    <n v="105.85885802405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35.9058083316033"/>
    <n v="0"/>
    <n v="76.3"/>
    <n v="352.45"/>
    <n v="4327.49"/>
    <n v="206"/>
    <m/>
    <m/>
    <m/>
    <m/>
    <m/>
    <m/>
    <m/>
    <m/>
    <m/>
    <n v="17042.676548287571"/>
    <m/>
    <m/>
    <m/>
    <m/>
    <m/>
    <m/>
    <m/>
    <m/>
    <m/>
    <m/>
    <m/>
    <m/>
    <n v="46940.524799999999"/>
    <n v="-4876.8884000000107"/>
    <m/>
    <m/>
    <m/>
    <m/>
    <n v="-5400.0076399999989"/>
    <n v="521.62668000000053"/>
    <n v="29"/>
    <n v="917.09017920314727"/>
    <n v="0"/>
    <n v="0"/>
    <n v="0"/>
    <n v="0"/>
    <n v="0"/>
    <n v="0"/>
    <n v="0"/>
    <n v="270.89383851107777"/>
    <n v="0"/>
    <n v="0"/>
    <n v="687.45876825528467"/>
    <n v="0"/>
    <n v="0"/>
    <n v="0"/>
    <n v="93.264655236778481"/>
    <n v="0"/>
    <n v="-11.189214948522931"/>
    <m/>
    <n v="0"/>
    <n v="0"/>
    <n v="0"/>
    <n v="0"/>
    <n v="-3.5133872161572981"/>
    <n v="-6.2354409220936304"/>
    <n v="0"/>
    <n v="-113.58903971321891"/>
    <m/>
    <m/>
    <m/>
    <n v="25282.155359827928"/>
    <n v="0"/>
    <n v="0"/>
    <n v="-5400.0076399999998"/>
    <n v="521.62668000000122"/>
    <n v="0"/>
    <n v="0"/>
    <n v="-5795.264504207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0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6.5590000000000002"/>
    <n v="6.5590000000000002"/>
    <n v="6.5590000000000002"/>
    <n v="6.5590000000000002"/>
    <m/>
    <n v="597.01"/>
    <n v="243.39"/>
    <m/>
    <n v="5512.1836000000003"/>
    <n v="5512.1836000000003"/>
    <n v="4993.2355200000002"/>
    <n v="0"/>
    <n v="163.21072869423108"/>
    <n v="0"/>
    <n v="0"/>
    <n v="0"/>
    <n v="768.64308133463885"/>
    <n v="2689.4426839195462"/>
    <n v="1596.3769386514512"/>
    <n v="0"/>
    <n v="0"/>
    <n v="0"/>
    <n v="0"/>
    <n v="0"/>
    <n v="66.633476723883859"/>
    <m/>
    <n v="11.2609596448110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.57378112892059"/>
    <n v="0"/>
    <n v="0"/>
    <n v="0"/>
    <n v="0"/>
    <n v="6"/>
    <m/>
    <m/>
    <m/>
    <m/>
    <m/>
    <m/>
    <m/>
    <m/>
    <m/>
    <n v="1812.9507197803719"/>
    <m/>
    <m/>
    <m/>
    <m/>
    <m/>
    <m/>
    <m/>
    <m/>
    <m/>
    <m/>
    <m/>
    <m/>
    <n v="4993.9967999999999"/>
    <n v="-518.21680000000106"/>
    <m/>
    <m/>
    <m/>
    <m/>
    <n v="-574.43721999999991"/>
    <n v="55.489140000000056"/>
    <n v="29"/>
    <n v="97.557405128182381"/>
    <n v="0"/>
    <n v="0"/>
    <n v="0"/>
    <n v="0"/>
    <n v="0"/>
    <n v="0"/>
    <n v="0"/>
    <n v="28.816904323756148"/>
    <n v="0"/>
    <n v="0"/>
    <n v="73.129878701651251"/>
    <n v="0"/>
    <n v="0"/>
    <n v="0"/>
    <n v="9.9212247185771503"/>
    <n v="0"/>
    <n v="-1.1902763769074909"/>
    <m/>
    <n v="0"/>
    <n v="0"/>
    <n v="0"/>
    <n v="0"/>
    <n v="-0.37374398700534073"/>
    <n v="-0.66330820020130687"/>
    <n v="0"/>
    <n v="-12.083274051688393"/>
    <m/>
    <m/>
    <m/>
    <n v="2689.4426839195462"/>
    <n v="0"/>
    <n v="0"/>
    <n v="-574.4372199999998"/>
    <n v="55.489140000000134"/>
    <n v="0"/>
    <n v="0"/>
    <n v="-616.48350389400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1"/>
    <s v="Regular"/>
    <s v="Branca"/>
    <s v="B3"/>
    <s v="Comercial"/>
    <s v="Não se aplica"/>
    <s v="Não se aplica"/>
    <s v="Não se aplica"/>
    <s v="Ponta"/>
    <s v="CATIVO"/>
    <x v="9"/>
    <n v="0"/>
    <n v="0"/>
    <n v="5.0000000000000001E-3"/>
    <n v="5.0000000000000001E-3"/>
    <n v="5.0000000000000001E-3"/>
    <n v="5.0000000000000001E-3"/>
    <m/>
    <n v="1783.27"/>
    <n v="243.39"/>
    <m/>
    <n v="10.1333"/>
    <n v="10.1333"/>
    <n v="8.7381000000000011"/>
    <n v="0"/>
    <n v="0.124417387325988"/>
    <n v="0"/>
    <n v="0"/>
    <n v="0"/>
    <n v="1.9043233280197251"/>
    <n v="6.6631287230559995"/>
    <n v="1.21693622400629"/>
    <n v="0"/>
    <n v="0"/>
    <n v="0"/>
    <n v="0"/>
    <n v="0"/>
    <n v="5.0795454127064994E-2"/>
    <m/>
    <n v="8.58435710078600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65096646690746"/>
    <n v="0"/>
    <n v="0"/>
    <n v="0"/>
    <n v="0"/>
    <n v="0"/>
    <m/>
    <m/>
    <m/>
    <m/>
    <m/>
    <m/>
    <m/>
    <m/>
    <m/>
    <n v="1.382032870697036"/>
    <m/>
    <m/>
    <m/>
    <m/>
    <m/>
    <m/>
    <m/>
    <m/>
    <m/>
    <m/>
    <m/>
    <m/>
    <n v="17.476200000000002"/>
    <n v="7.3129000000000026"/>
    <m/>
    <m/>
    <m/>
    <m/>
    <n v="-1.4375"/>
    <n v="4.2300000000000039E-2"/>
    <n v="29"/>
    <n v="0.13216943965171168"/>
    <n v="0"/>
    <n v="0"/>
    <n v="0"/>
    <n v="0"/>
    <n v="0"/>
    <n v="0"/>
    <n v="0"/>
    <n v="7.139425889288975E-2"/>
    <n v="0"/>
    <n v="0"/>
    <n v="5.5747734945609917E-2"/>
    <n v="0"/>
    <n v="0"/>
    <n v="0"/>
    <n v="7.563061990072506E-3"/>
    <n v="0"/>
    <n v="-9.0736116550349522E-4"/>
    <m/>
    <n v="0"/>
    <n v="0"/>
    <n v="0"/>
    <n v="0"/>
    <n v="-2.8490927504599278E-4"/>
    <n v="-5.0564735493315027E-4"/>
    <n v="0"/>
    <n v="-8.3769838137780044E-4"/>
    <m/>
    <m/>
    <m/>
    <n v="6.6631287230559995"/>
    <n v="0"/>
    <n v="0"/>
    <n v="-1.4374999999999991"/>
    <n v="4.2300000000000004E-2"/>
    <n v="0"/>
    <n v="0"/>
    <n v="-1.5273457830675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2"/>
    <s v="Regular"/>
    <s v="Branca"/>
    <s v="B3"/>
    <s v="Comercial"/>
    <s v="Não se aplica"/>
    <s v="Não se aplica"/>
    <s v="Não se aplica"/>
    <s v="Fora ponta"/>
    <s v="CATIVO"/>
    <x v="9"/>
    <n v="0"/>
    <n v="0"/>
    <n v="0.35899999999999999"/>
    <n v="0.35899999999999999"/>
    <n v="0.35899999999999999"/>
    <n v="0.35899999999999999"/>
    <m/>
    <n v="412.48"/>
    <n v="243.39"/>
    <m/>
    <n v="235.45733000000001"/>
    <n v="235.45733000000001"/>
    <n v="218.21814999999998"/>
    <n v="0"/>
    <n v="8.9331684100059388"/>
    <n v="0"/>
    <n v="0"/>
    <n v="0"/>
    <n v="27.346514748377583"/>
    <n v="95.682568855786059"/>
    <n v="87.37602088365162"/>
    <n v="0"/>
    <n v="0"/>
    <n v="0"/>
    <n v="0"/>
    <n v="0"/>
    <n v="3.6471136063232668"/>
    <m/>
    <n v="0.616356839836434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53939232395561"/>
    <n v="0"/>
    <n v="0"/>
    <n v="0"/>
    <n v="0"/>
    <n v="0"/>
    <m/>
    <m/>
    <m/>
    <m/>
    <m/>
    <m/>
    <m/>
    <m/>
    <m/>
    <n v="99.229960116047181"/>
    <m/>
    <m/>
    <m/>
    <m/>
    <m/>
    <m/>
    <m/>
    <m/>
    <m/>
    <m/>
    <m/>
    <m/>
    <n v="218.82599999999999"/>
    <n v="-16.661329999999992"/>
    <m/>
    <m/>
    <m/>
    <m/>
    <n v="-20.276320000000005"/>
    <n v="3.0371400000000026"/>
    <n v="29"/>
    <n v="4.6941550132235932"/>
    <n v="0"/>
    <n v="0"/>
    <n v="0"/>
    <n v="0"/>
    <n v="0"/>
    <n v="0"/>
    <n v="0"/>
    <n v="1.0252377445768275"/>
    <n v="0"/>
    <n v="0"/>
    <n v="4.0026873690948008"/>
    <n v="0"/>
    <n v="0"/>
    <n v="0"/>
    <n v="0.54302785088720817"/>
    <n v="0"/>
    <n v="-6.5148531683151489E-2"/>
    <m/>
    <n v="0"/>
    <n v="0"/>
    <n v="0"/>
    <n v="0"/>
    <n v="-2.0456485948302738E-2"/>
    <n v="-3.6305480084200092E-2"/>
    <n v="0"/>
    <n v="-0.75488745361959664"/>
    <m/>
    <m/>
    <m/>
    <n v="95.682568855786059"/>
    <n v="0"/>
    <n v="0"/>
    <n v="-20.276319999999998"/>
    <n v="3.0371399999999937"/>
    <n v="0"/>
    <n v="0"/>
    <n v="-21.932694703806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3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84"/>
    <s v="Regular"/>
    <s v="Branca"/>
    <s v="B3"/>
    <s v="Comercial"/>
    <s v="Não se aplica"/>
    <s v="Não se aplica"/>
    <s v="Não se aplica"/>
    <s v="Intermediário"/>
    <s v="CATIVO"/>
    <x v="9"/>
    <n v="0"/>
    <n v="0"/>
    <n v="1.2E-2"/>
    <n v="1.2E-2"/>
    <n v="1.2E-2"/>
    <n v="1.2E-2"/>
    <m/>
    <n v="1097.8699999999999"/>
    <n v="243.39"/>
    <m/>
    <n v="16.095119999999998"/>
    <n v="16.095119999999998"/>
    <n v="14.132759999999999"/>
    <n v="0"/>
    <n v="0.29860172958237119"/>
    <n v="0"/>
    <n v="0"/>
    <n v="0"/>
    <n v="2.7422466853047482"/>
    <n v="9.5949037859977935"/>
    <n v="2.9206469376150959"/>
    <n v="0"/>
    <n v="0"/>
    <n v="0"/>
    <n v="0"/>
    <n v="0"/>
    <n v="0.121909089904956"/>
    <m/>
    <n v="2.06024570418863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9623195205779038"/>
    <n v="0"/>
    <n v="0"/>
    <n v="0"/>
    <n v="0"/>
    <n v="0"/>
    <m/>
    <m/>
    <m/>
    <m/>
    <m/>
    <m/>
    <m/>
    <m/>
    <m/>
    <n v="3.3168788896728865"/>
    <m/>
    <m/>
    <m/>
    <m/>
    <m/>
    <m/>
    <m/>
    <m/>
    <m/>
    <m/>
    <m/>
    <m/>
    <n v="11.7773"/>
    <n v="-4.3478199999999987"/>
    <m/>
    <m/>
    <m/>
    <m/>
    <n v="-2.0638799999999988"/>
    <n v="0.1015200000000001"/>
    <n v="29"/>
    <n v="0.23705770848335472"/>
    <n v="0"/>
    <n v="0"/>
    <n v="0"/>
    <n v="0"/>
    <n v="0"/>
    <n v="0"/>
    <n v="0"/>
    <n v="0.10280852359373993"/>
    <n v="0"/>
    <n v="0"/>
    <n v="0.13379456386946398"/>
    <n v="0"/>
    <n v="0"/>
    <n v="0"/>
    <n v="1.8151348776174026E-2"/>
    <n v="0"/>
    <n v="-2.1776667972083774E-3"/>
    <m/>
    <n v="0"/>
    <n v="0"/>
    <n v="0"/>
    <n v="0"/>
    <n v="-6.8378226011039933E-4"/>
    <n v="-1.2135536518395572E-3"/>
    <n v="0"/>
    <n v="-1.3621725046864198E-2"/>
    <m/>
    <m/>
    <m/>
    <n v="9.5949037859977935"/>
    <n v="0"/>
    <n v="0"/>
    <n v="-2.0638799999999993"/>
    <n v="0.10151999999999983"/>
    <n v="0"/>
    <n v="0"/>
    <n v="-2.1993775665437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5"/>
    <s v="Regular"/>
    <s v="Convencional"/>
    <s v="B2"/>
    <s v="Rural"/>
    <s v="Não se aplica"/>
    <s v="Não se aplica"/>
    <s v="Não se aplica"/>
    <s v="Não se aplica"/>
    <s v="CATIVO"/>
    <x v="9"/>
    <n v="0"/>
    <n v="0"/>
    <n v="194.405"/>
    <n v="194.405"/>
    <n v="194.405"/>
    <n v="194.405"/>
    <m/>
    <n v="597.01"/>
    <n v="243.39"/>
    <m/>
    <n v="163377.962"/>
    <n v="163377.962"/>
    <n v="147996.6384"/>
    <n v="0"/>
    <n v="4837.4724366217397"/>
    <n v="0"/>
    <n v="0"/>
    <n v="0"/>
    <n v="22782.140299872004"/>
    <n v="79713.539406522235"/>
    <n v="47315.69732558856"/>
    <n v="0"/>
    <n v="0"/>
    <n v="0"/>
    <n v="0"/>
    <n v="0"/>
    <n v="1974.9780519144142"/>
    <m/>
    <n v="333.76838843566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19.1227199828945"/>
    <n v="0"/>
    <n v="97.1"/>
    <n v="448.56"/>
    <n v="0"/>
    <n v="1596"/>
    <m/>
    <m/>
    <m/>
    <m/>
    <m/>
    <n v="17760.840799999998"/>
    <m/>
    <m/>
    <m/>
    <n v="53734.820045571454"/>
    <m/>
    <m/>
    <m/>
    <m/>
    <m/>
    <m/>
    <m/>
    <m/>
    <m/>
    <m/>
    <m/>
    <m/>
    <n v="130239.14720000001"/>
    <n v="-13533.100550000003"/>
    <m/>
    <m/>
    <m/>
    <m/>
    <n v="-17025.989899999997"/>
    <n v="1644.6663000000015"/>
    <n v="29"/>
    <n v="2891.5455624247843"/>
    <n v="0"/>
    <n v="0"/>
    <n v="0"/>
    <n v="0"/>
    <n v="0"/>
    <n v="0"/>
    <n v="0"/>
    <n v="854.11652463177597"/>
    <n v="0"/>
    <n v="0"/>
    <n v="2167.5276824202592"/>
    <n v="0"/>
    <n v="0"/>
    <n v="0"/>
    <n v="294.05941323601019"/>
    <n v="0"/>
    <n v="-35.279109475941368"/>
    <m/>
    <n v="0"/>
    <n v="0"/>
    <n v="0"/>
    <n v="0"/>
    <n v="-11.07755752306366"/>
    <n v="-19.660074807155809"/>
    <n v="0"/>
    <n v="-358.14131605709434"/>
    <m/>
    <m/>
    <m/>
    <n v="79713.539406522235"/>
    <n v="0"/>
    <n v="0"/>
    <n v="-17025.989899999986"/>
    <n v="1644.6663000000044"/>
    <n v="0"/>
    <n v="0"/>
    <n v="-18272.21765124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6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10.568"/>
    <n v="10.568"/>
    <n v="10.568"/>
    <n v="10.568"/>
    <m/>
    <n v="597.01"/>
    <n v="243.39"/>
    <m/>
    <n v="8881.3472000000002"/>
    <n v="8881.3472000000002"/>
    <n v="8045.2070400000002"/>
    <n v="0"/>
    <n v="262.96858985220825"/>
    <n v="0"/>
    <n v="0"/>
    <n v="0"/>
    <n v="1238.4540453643031"/>
    <n v="4333.2871296938192"/>
    <n v="2572.1164030596942"/>
    <n v="0"/>
    <n v="0"/>
    <n v="0"/>
    <n v="0"/>
    <n v="0"/>
    <n v="107.36127184296457"/>
    <m/>
    <n v="18.14389716822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8.94827244556069"/>
    <n v="0"/>
    <n v="0"/>
    <n v="0"/>
    <n v="0"/>
    <n v="8"/>
    <m/>
    <m/>
    <m/>
    <m/>
    <m/>
    <n v="965.49247999999977"/>
    <m/>
    <m/>
    <m/>
    <n v="2921.0646755052549"/>
    <m/>
    <m/>
    <m/>
    <m/>
    <m/>
    <m/>
    <m/>
    <m/>
    <m/>
    <m/>
    <m/>
    <m/>
    <n v="7081.0544000000009"/>
    <n v="-734.54"/>
    <m/>
    <m/>
    <m/>
    <m/>
    <n v="-925.54543999999976"/>
    <n v="89.405280000000076"/>
    <n v="29"/>
    <n v="157.18656157869009"/>
    <n v="0"/>
    <n v="0"/>
    <n v="0"/>
    <n v="0"/>
    <n v="0"/>
    <n v="0"/>
    <n v="0"/>
    <n v="46.430407820316304"/>
    <n v="0"/>
    <n v="0"/>
    <n v="117.82841258104145"/>
    <n v="0"/>
    <n v="0"/>
    <n v="0"/>
    <n v="15.985287822217288"/>
    <n v="0"/>
    <n v="-1.9177985594081974"/>
    <m/>
    <n v="0"/>
    <n v="0"/>
    <n v="0"/>
    <n v="0"/>
    <n v="-0.60218424373722712"/>
    <n v="-1.0687362493867063"/>
    <n v="0"/>
    <n v="-19.468827592352941"/>
    <m/>
    <m/>
    <m/>
    <n v="4333.2871296938192"/>
    <n v="0"/>
    <n v="0"/>
    <n v="-925.54543999999987"/>
    <n v="89.405280000000403"/>
    <n v="0"/>
    <n v="0"/>
    <n v="-993.29130494768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7"/>
    <s v="Regular"/>
    <s v="Branca"/>
    <s v="B2"/>
    <s v="Rural"/>
    <s v="Não se aplica"/>
    <s v="Não se aplica"/>
    <s v="Não se aplica"/>
    <s v="Ponta"/>
    <s v="CATIVO"/>
    <x v="9"/>
    <n v="0"/>
    <n v="0"/>
    <n v="3.6999999999999998E-2"/>
    <n v="3.6999999999999998E-2"/>
    <n v="3.6999999999999998E-2"/>
    <n v="3.6999999999999998E-2"/>
    <m/>
    <n v="1298.56"/>
    <n v="214.18"/>
    <m/>
    <n v="55.971379999999996"/>
    <n v="55.971379999999996"/>
    <n v="48.573970000000003"/>
    <n v="0"/>
    <n v="0.81020602626683424"/>
    <n v="0"/>
    <n v="0"/>
    <n v="0"/>
    <n v="10.174563614464173"/>
    <n v="35.600135179076972"/>
    <n v="7.9246886907289582"/>
    <n v="0"/>
    <n v="0"/>
    <n v="0"/>
    <n v="0"/>
    <n v="0"/>
    <n v="0.33077999727544694"/>
    <m/>
    <n v="5.590133344031857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51093632501381"/>
    <n v="0"/>
    <n v="0"/>
    <n v="0"/>
    <n v="0"/>
    <n v="0"/>
    <m/>
    <m/>
    <m/>
    <m/>
    <m/>
    <m/>
    <m/>
    <m/>
    <m/>
    <n v="8.9997980539790969"/>
    <m/>
    <m/>
    <m/>
    <m/>
    <m/>
    <m/>
    <m/>
    <m/>
    <m/>
    <m/>
    <m/>
    <m/>
    <n v="52.512400000000007"/>
    <n v="-3.4889799999999838"/>
    <m/>
    <m/>
    <m/>
    <m/>
    <n v="-7.6730599999999951"/>
    <n v="0.27564999999999956"/>
    <n v="29"/>
    <n v="0.76307781858497137"/>
    <n v="0"/>
    <n v="0"/>
    <n v="0"/>
    <n v="0"/>
    <n v="0"/>
    <n v="0"/>
    <n v="0"/>
    <n v="0.38145068021020201"/>
    <n v="0"/>
    <n v="0"/>
    <n v="0.3630292499658001"/>
    <n v="0"/>
    <n v="0"/>
    <n v="0"/>
    <n v="4.9250659679353603E-2"/>
    <n v="0"/>
    <n v="-5.908735909758156E-3"/>
    <m/>
    <n v="0"/>
    <n v="0"/>
    <n v="0"/>
    <n v="0"/>
    <n v="-1.8553291990979215E-3"/>
    <n v="-3.2927755753248758E-3"/>
    <n v="0"/>
    <n v="-1.9595930586207663E-2"/>
    <m/>
    <m/>
    <m/>
    <n v="35.600135179076972"/>
    <n v="0"/>
    <n v="0"/>
    <n v="-7.6730599999999924"/>
    <n v="0.27564999999999973"/>
    <n v="0"/>
    <n v="0"/>
    <n v="-8.1603881003006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8"/>
    <s v="Regular"/>
    <s v="Branca"/>
    <s v="B2"/>
    <s v="Rural"/>
    <s v="Não se aplica"/>
    <s v="Não se aplica"/>
    <s v="Não se aplica"/>
    <s v="Fora ponta"/>
    <s v="CATIVO"/>
    <x v="9"/>
    <n v="0"/>
    <n v="0"/>
    <n v="2.86"/>
    <n v="2.86"/>
    <n v="2.86"/>
    <n v="2.86"/>
    <m/>
    <n v="308.83999999999997"/>
    <n v="214.18"/>
    <m/>
    <n v="1495.8371999999999"/>
    <n v="1495.8371999999999"/>
    <n v="1401.0853999999999"/>
    <n v="0"/>
    <n v="62.626736084409352"/>
    <n v="0"/>
    <n v="0"/>
    <n v="0"/>
    <n v="157.2977358207032"/>
    <n v="550.35912972868539"/>
    <n v="612.55701771580596"/>
    <n v="0"/>
    <n v="0"/>
    <n v="0"/>
    <n v="0"/>
    <n v="0"/>
    <n v="25.568399789399411"/>
    <m/>
    <n v="4.32102199025165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103048078253906"/>
    <n v="0"/>
    <n v="0"/>
    <n v="0"/>
    <n v="0"/>
    <n v="0"/>
    <m/>
    <m/>
    <m/>
    <m/>
    <m/>
    <m/>
    <m/>
    <m/>
    <m/>
    <n v="695.66006579405985"/>
    <m/>
    <m/>
    <m/>
    <m/>
    <m/>
    <m/>
    <m/>
    <m/>
    <m/>
    <m/>
    <m/>
    <m/>
    <n v="1401.0853999999999"/>
    <n v="-94.781799999999976"/>
    <m/>
    <m/>
    <m/>
    <m/>
    <n v="-116.05879999999995"/>
    <n v="21.306999999999967"/>
    <n v="29"/>
    <n v="31.399837911303734"/>
    <n v="0"/>
    <n v="0"/>
    <n v="0"/>
    <n v="0"/>
    <n v="0"/>
    <n v="0"/>
    <n v="0"/>
    <n v="5.8971893633878949"/>
    <n v="0"/>
    <n v="0"/>
    <n v="28.061179862221252"/>
    <n v="0"/>
    <n v="0"/>
    <n v="0"/>
    <n v="3.8069428833230177"/>
    <n v="0"/>
    <n v="-0.456729316267797"/>
    <m/>
    <n v="0"/>
    <n v="0"/>
    <n v="0"/>
    <n v="0"/>
    <n v="-0.14341193268702668"/>
    <n v="-0.2545226525791664"/>
    <n v="0"/>
    <n v="-5.5108102960943173"/>
    <m/>
    <m/>
    <m/>
    <n v="550.35912972868539"/>
    <n v="0"/>
    <n v="0"/>
    <n v="-116.05880000000002"/>
    <n v="21.306999999999903"/>
    <n v="0"/>
    <n v="0"/>
    <n v="-126.15525392075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89"/>
    <s v="Regular"/>
    <s v="Branca"/>
    <s v="B2"/>
    <s v="Rural"/>
    <s v="Não se aplica"/>
    <s v="Não se aplica"/>
    <s v="Não se aplica"/>
    <s v="Não se aplica"/>
    <s v="CATIVO"/>
    <x v="9"/>
    <n v="0"/>
    <n v="0"/>
    <n v="9.9000000000000005E-2"/>
    <n v="9.9000000000000005E-2"/>
    <n v="9.9000000000000005E-2"/>
    <n v="9.9000000000000005E-2"/>
    <m/>
    <n v="597.01"/>
    <n v="243.39"/>
    <m/>
    <n v="83.199600000000004"/>
    <n v="83.199600000000004"/>
    <n v="75.366720000000001"/>
    <n v="0"/>
    <n v="2.4634642690545627"/>
    <n v="0"/>
    <n v="0"/>
    <n v="0"/>
    <n v="11.601717495369606"/>
    <n v="40.59381395152235"/>
    <n v="24.095337235324543"/>
    <n v="0"/>
    <n v="0"/>
    <n v="0"/>
    <n v="0"/>
    <n v="0"/>
    <n v="1.005749991715887"/>
    <m/>
    <n v="0.16997027059556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689136044767708"/>
    <n v="0"/>
    <n v="2.2999999999999998"/>
    <n v="10.6"/>
    <n v="0"/>
    <n v="8"/>
    <m/>
    <m/>
    <m/>
    <m/>
    <m/>
    <n v="9.0446399999999993"/>
    <m/>
    <m/>
    <m/>
    <n v="27.364250839801315"/>
    <m/>
    <m/>
    <m/>
    <m/>
    <m/>
    <m/>
    <m/>
    <m/>
    <m/>
    <m/>
    <m/>
    <m/>
    <n v="66.992000000000004"/>
    <n v="-6.2534500000000008"/>
    <m/>
    <m/>
    <m/>
    <m/>
    <n v="-8.6704199999999982"/>
    <n v="0.83754000000000084"/>
    <n v="29"/>
    <n v="1.4725084780743956"/>
    <n v="0"/>
    <n v="0"/>
    <n v="0"/>
    <n v="0"/>
    <n v="0"/>
    <n v="0"/>
    <n v="0"/>
    <n v="0.43495556152643289"/>
    <n v="0"/>
    <n v="0"/>
    <n v="1.1038051519230763"/>
    <n v="0"/>
    <n v="0"/>
    <n v="0"/>
    <n v="0.14974862740343564"/>
    <n v="0"/>
    <n v="-1.7965751076969294E-2"/>
    <m/>
    <n v="0"/>
    <n v="0"/>
    <n v="0"/>
    <n v="0"/>
    <n v="-5.6412036459108084E-3"/>
    <n v="-1.0011817627676362E-2"/>
    <n v="0"/>
    <n v="-0.18238209042798462"/>
    <m/>
    <m/>
    <m/>
    <n v="40.59381395152235"/>
    <n v="0"/>
    <n v="0"/>
    <n v="-8.67042"/>
    <n v="0.83754000000000062"/>
    <n v="0"/>
    <n v="0"/>
    <n v="-9.3050566985069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0"/>
    <s v="Regular"/>
    <s v="Branca"/>
    <s v="B2"/>
    <s v="Rural"/>
    <s v="Não se aplica"/>
    <s v="Não se aplica"/>
    <s v="Não se aplica"/>
    <s v="Intermediário"/>
    <s v="CATIVO"/>
    <x v="9"/>
    <n v="0"/>
    <n v="0"/>
    <n v="0.105"/>
    <n v="0.105"/>
    <n v="0.105"/>
    <n v="0.105"/>
    <m/>
    <n v="803.7"/>
    <n v="214.18"/>
    <m/>
    <n v="106.87740000000001"/>
    <n v="106.87740000000001"/>
    <n v="94.641750000000002"/>
    <n v="0"/>
    <n v="2.2992333177842594"/>
    <n v="0"/>
    <n v="0"/>
    <n v="0"/>
    <n v="17.324333898951657"/>
    <n v="60.616425593318176"/>
    <n v="22.488981419636232"/>
    <n v="0"/>
    <n v="0"/>
    <n v="0"/>
    <n v="0"/>
    <n v="0"/>
    <n v="0.93869999226816014"/>
    <m/>
    <n v="0.158638919222525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509860308449861"/>
    <n v="0"/>
    <n v="0"/>
    <n v="0"/>
    <n v="0"/>
    <n v="0"/>
    <m/>
    <m/>
    <m/>
    <m/>
    <m/>
    <m/>
    <m/>
    <m/>
    <m/>
    <n v="25.539967450481218"/>
    <m/>
    <m/>
    <m/>
    <m/>
    <m/>
    <m/>
    <m/>
    <m/>
    <m/>
    <m/>
    <m/>
    <m/>
    <n v="99.148499999999999"/>
    <n v="-7.7589000000000254"/>
    <m/>
    <m/>
    <m/>
    <m/>
    <n v="-13.017900000000001"/>
    <n v="0.78224999999999878"/>
    <n v="29"/>
    <n v="1.6591409348585415"/>
    <n v="0"/>
    <n v="0"/>
    <n v="0"/>
    <n v="0"/>
    <n v="0"/>
    <n v="0"/>
    <n v="0"/>
    <n v="0.64949998843674095"/>
    <n v="0"/>
    <n v="0"/>
    <n v="1.0302181417948368"/>
    <n v="0"/>
    <n v="0"/>
    <n v="0"/>
    <n v="0.13976538557654417"/>
    <n v="0"/>
    <n v="-1.6768034338503046E-2"/>
    <m/>
    <n v="0"/>
    <n v="0"/>
    <n v="0"/>
    <n v="0"/>
    <n v="-5.2651234028453509E-3"/>
    <n v="-9.3443631191651999E-3"/>
    <n v="0"/>
    <n v="-0.12896506008906555"/>
    <m/>
    <m/>
    <m/>
    <n v="60.616425593318176"/>
    <n v="0"/>
    <n v="0"/>
    <n v="-13.017900000000012"/>
    <n v="0.78224999999999767"/>
    <n v="0"/>
    <n v="0"/>
    <n v="-13.89471010731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1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16.347999999999999"/>
    <n v="16.347999999999999"/>
    <n v="16.347999999999999"/>
    <n v="16.347999999999999"/>
    <m/>
    <n v="597.01"/>
    <n v="243.39"/>
    <m/>
    <n v="13738.859199999999"/>
    <n v="13738.859199999999"/>
    <n v="12445.405439999999"/>
    <n v="0"/>
    <n v="406.79508960105034"/>
    <n v="0"/>
    <n v="0"/>
    <n v="0"/>
    <n v="1915.8068445889121"/>
    <n v="6703.3098028231034"/>
    <n v="3978.8946780109654"/>
    <n v="0"/>
    <n v="0"/>
    <n v="0"/>
    <n v="0"/>
    <n v="0"/>
    <n v="166.0808168138517"/>
    <m/>
    <n v="28.067413976729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9.79999602006308"/>
    <n v="0"/>
    <n v="18.28"/>
    <n v="84.4"/>
    <n v="1478.97"/>
    <n v="30"/>
    <m/>
    <m/>
    <m/>
    <m/>
    <m/>
    <m/>
    <m/>
    <m/>
    <m/>
    <n v="4518.6946740310286"/>
    <m/>
    <m/>
    <m/>
    <m/>
    <m/>
    <m/>
    <m/>
    <m/>
    <m/>
    <m/>
    <m/>
    <m/>
    <n v="12446.928"/>
    <n v="-1291.9611999999997"/>
    <m/>
    <m/>
    <m/>
    <m/>
    <n v="-1431.7578399999998"/>
    <n v="138.30408000000011"/>
    <n v="29"/>
    <n v="243.15725858141741"/>
    <n v="0"/>
    <n v="0"/>
    <n v="0"/>
    <n v="0"/>
    <n v="0"/>
    <n v="0"/>
    <n v="0"/>
    <n v="71.82478302862728"/>
    <n v="0"/>
    <n v="0"/>
    <n v="182.27279417816681"/>
    <n v="0"/>
    <n v="0"/>
    <n v="0"/>
    <n v="24.728187482741077"/>
    <n v="0"/>
    <n v="-2.9667080667302343"/>
    <m/>
    <n v="0"/>
    <n v="0"/>
    <n v="0"/>
    <n v="0"/>
    <n v="-0.93153936569038365"/>
    <n v="-1.6532645916894246"/>
    <n v="0"/>
    <n v="-30.11699408400699"/>
    <m/>
    <m/>
    <m/>
    <n v="6703.3098028231034"/>
    <n v="0"/>
    <n v="0"/>
    <n v="-1431.7578399999984"/>
    <n v="138.30407999999989"/>
    <n v="0"/>
    <n v="0"/>
    <n v="-1536.5562313857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2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114.63"/>
    <n v="114.63"/>
    <n v="114.63"/>
    <n v="114.63"/>
    <m/>
    <n v="328.35"/>
    <n v="133.86000000000001"/>
    <m/>
    <n v="52983.132300000005"/>
    <n v="52983.132300000005"/>
    <n v="47995.580999999998"/>
    <n v="0"/>
    <n v="1568.8161620095827"/>
    <n v="0"/>
    <n v="0"/>
    <n v="0"/>
    <n v="7388.3604249678774"/>
    <n v="25851.493851461193"/>
    <n v="15344.713929362522"/>
    <n v="0"/>
    <n v="0"/>
    <n v="0"/>
    <n v="0"/>
    <n v="0"/>
    <n v="640.49511972440064"/>
    <m/>
    <n v="108.24273399094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1.753147117628"/>
    <n v="0"/>
    <n v="0"/>
    <n v="0"/>
    <n v="0"/>
    <n v="5"/>
    <m/>
    <m/>
    <m/>
    <m/>
    <m/>
    <m/>
    <m/>
    <m/>
    <m/>
    <n v="17426.467076480149"/>
    <m/>
    <m/>
    <m/>
    <m/>
    <m/>
    <m/>
    <m/>
    <m/>
    <m/>
    <m/>
    <m/>
    <m/>
    <n v="47995.580999999998"/>
    <n v="-4987.5813000000126"/>
    <m/>
    <m/>
    <m/>
    <m/>
    <n v="-5521.7271000000019"/>
    <n v="534.17579999999964"/>
    <n v="29"/>
    <n v="937.7424824536829"/>
    <n v="0"/>
    <n v="0"/>
    <n v="0"/>
    <n v="0"/>
    <n v="0"/>
    <n v="0"/>
    <n v="0"/>
    <n v="276.99420009873029"/>
    <n v="0"/>
    <n v="0"/>
    <n v="702.93991424967135"/>
    <n v="0"/>
    <n v="0"/>
    <n v="0"/>
    <n v="95.364917551412418"/>
    <n v="0"/>
    <n v="-11.441189144185046"/>
    <m/>
    <n v="0"/>
    <n v="0"/>
    <n v="0"/>
    <n v="0"/>
    <n v="-3.5925065218351619"/>
    <n v="-6.3758591925587353"/>
    <n v="0"/>
    <n v="-116.14699458755548"/>
    <m/>
    <m/>
    <m/>
    <n v="25851.493851461193"/>
    <n v="0"/>
    <n v="0"/>
    <n v="-5521.7271000000037"/>
    <n v="534.17579999999907"/>
    <n v="0"/>
    <n v="0"/>
    <n v="-5925.7702741658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3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56.944000000000003"/>
    <n v="53.527360000000002"/>
    <n v="56.944000000000003"/>
    <n v="53.527360000000002"/>
    <m/>
    <n v="597.01"/>
    <n v="243.39"/>
    <m/>
    <n v="47855.7376"/>
    <n v="47855.7376"/>
    <n v="43350.328320000001"/>
    <n v="0"/>
    <n v="1416.9647407782122"/>
    <n v="0"/>
    <n v="0"/>
    <n v="0"/>
    <n v="6673.2141520841096"/>
    <n v="23349.233754095843"/>
    <n v="13859.443267962835"/>
    <n v="0"/>
    <n v="0"/>
    <n v="0"/>
    <n v="0"/>
    <n v="0"/>
    <n v="578.49926796231784"/>
    <m/>
    <n v="97.765526149431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0.252689831568"/>
    <n v="0"/>
    <n v="0"/>
    <n v="0"/>
    <n v="0"/>
    <n v="9"/>
    <m/>
    <m/>
    <m/>
    <m/>
    <n v="2601.0196992000006"/>
    <m/>
    <m/>
    <m/>
    <m/>
    <n v="15739.695957794404"/>
    <m/>
    <m/>
    <m/>
    <m/>
    <m/>
    <m/>
    <m/>
    <m/>
    <m/>
    <m/>
    <m/>
    <m/>
    <n v="40751.318400000004"/>
    <n v="-4233.1049439999988"/>
    <m/>
    <m/>
    <m/>
    <m/>
    <n v="-4987.1555199999993"/>
    <n v="481.74624000000045"/>
    <n v="29"/>
    <n v="846.9749775299897"/>
    <n v="0"/>
    <n v="0"/>
    <n v="0"/>
    <n v="0"/>
    <n v="0"/>
    <n v="0"/>
    <n v="0"/>
    <n v="250.18292419758745"/>
    <n v="0"/>
    <n v="0"/>
    <n v="634.8998037485635"/>
    <n v="0"/>
    <n v="0"/>
    <n v="0"/>
    <n v="86.134200392537878"/>
    <n v="0"/>
    <n v="-10.333754841686186"/>
    <m/>
    <n v="0"/>
    <n v="0"/>
    <n v="0"/>
    <n v="0"/>
    <n v="-3.2447747516438312"/>
    <n v="-5.7587165958626514"/>
    <n v="0"/>
    <n v="-104.9047046195066"/>
    <m/>
    <m/>
    <m/>
    <n v="23349.233754095843"/>
    <n v="0"/>
    <n v="0"/>
    <n v="-4987.1555199999966"/>
    <n v="481.7462400000004"/>
    <n v="0"/>
    <n v="0"/>
    <n v="-5352.1934206038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4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3.6960000000000002"/>
    <n v="3.6960000000000002"/>
    <n v="3.6960000000000002"/>
    <n v="3.6960000000000002"/>
    <m/>
    <n v="597.01"/>
    <n v="243.39"/>
    <m/>
    <n v="3106.1184000000003"/>
    <n v="3106.1184000000003"/>
    <n v="2813.6908800000001"/>
    <n v="0"/>
    <n v="91.969332711370342"/>
    <n v="0"/>
    <n v="0"/>
    <n v="0"/>
    <n v="433.13078649379867"/>
    <n v="1515.5023875235011"/>
    <n v="899.55925678544963"/>
    <n v="0"/>
    <n v="0"/>
    <n v="0"/>
    <n v="0"/>
    <n v="0"/>
    <n v="37.547999690726449"/>
    <m/>
    <n v="6.3455567689010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03944123379944"/>
    <n v="0"/>
    <n v="0"/>
    <n v="0"/>
    <n v="1112.8499999999999"/>
    <n v="3"/>
    <m/>
    <m/>
    <m/>
    <m/>
    <m/>
    <m/>
    <m/>
    <m/>
    <m/>
    <n v="1021.598698019249"/>
    <m/>
    <m/>
    <m/>
    <m/>
    <m/>
    <m/>
    <m/>
    <m/>
    <m/>
    <m/>
    <m/>
    <m/>
    <n v="2816.7359999999999"/>
    <n v="-289.41240000000107"/>
    <m/>
    <m/>
    <m/>
    <m/>
    <n v="-323.69567999999998"/>
    <n v="31.26816000000003"/>
    <n v="29"/>
    <n v="54.973649848111108"/>
    <n v="0"/>
    <n v="0"/>
    <n v="0"/>
    <n v="0"/>
    <n v="0"/>
    <n v="0"/>
    <n v="0"/>
    <n v="16.2383409636534"/>
    <n v="0"/>
    <n v="0"/>
    <n v="41.208725671794923"/>
    <n v="0"/>
    <n v="0"/>
    <n v="0"/>
    <n v="5.5906154230616067"/>
    <n v="0"/>
    <n v="-0.67072137354018935"/>
    <m/>
    <n v="0"/>
    <n v="0"/>
    <n v="0"/>
    <n v="0"/>
    <n v="-0.21060493611400233"/>
    <n v="-0.37377452476658402"/>
    <n v="0"/>
    <n v="-6.8089313759780916"/>
    <m/>
    <m/>
    <m/>
    <n v="1515.5023875235011"/>
    <n v="0"/>
    <n v="0"/>
    <n v="-323.69568000000004"/>
    <n v="31.26816000000008"/>
    <n v="0"/>
    <n v="0"/>
    <n v="-347.38878341092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5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296"/>
    <s v="Regular"/>
    <s v="Convencional"/>
    <s v="B2"/>
    <s v="Rural"/>
    <s v="Agropecuária rural"/>
    <s v="IRRIG./AQUIC."/>
    <s v="Não se aplica"/>
    <s v="Não se aplica"/>
    <s v="CATIVO"/>
    <x v="9"/>
    <n v="0"/>
    <n v="0"/>
    <n v="7.7309999999999999"/>
    <n v="7.7309999999999999"/>
    <n v="7.7309999999999999"/>
    <n v="7.7309999999999999"/>
    <m/>
    <n v="597.01"/>
    <n v="243.39"/>
    <m/>
    <n v="6497.1323999999995"/>
    <n v="6497.1323999999995"/>
    <n v="5885.45568"/>
    <n v="0"/>
    <n v="192.37416428344264"/>
    <n v="0"/>
    <n v="0"/>
    <n v="0"/>
    <n v="905.98866622931735"/>
    <n v="3170.0078349416085"/>
    <n v="1881.6267895585256"/>
    <n v="0"/>
    <n v="0"/>
    <n v="0"/>
    <n v="0"/>
    <n v="0"/>
    <n v="78.539931171267895"/>
    <m/>
    <n v="13.2731329492353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5.27243511323144"/>
    <n v="0"/>
    <n v="0"/>
    <n v="0"/>
    <n v="0"/>
    <n v="0"/>
    <m/>
    <m/>
    <m/>
    <m/>
    <m/>
    <n v="706.30415999999991"/>
    <m/>
    <m/>
    <m/>
    <n v="2136.8992246717571"/>
    <m/>
    <m/>
    <m/>
    <m/>
    <m/>
    <m/>
    <m/>
    <m/>
    <m/>
    <m/>
    <m/>
    <m/>
    <n v="5178.481600000001"/>
    <n v="-539.00944999999956"/>
    <m/>
    <m/>
    <m/>
    <m/>
    <n v="-677.08097999999984"/>
    <n v="65.404260000000065"/>
    <n v="29"/>
    <n v="114.98952569690073"/>
    <n v="0"/>
    <n v="0"/>
    <n v="0"/>
    <n v="0"/>
    <n v="0"/>
    <n v="0"/>
    <n v="0"/>
    <n v="33.966075213745853"/>
    <n v="0"/>
    <n v="0"/>
    <n v="86.197147772902099"/>
    <n v="0"/>
    <n v="0"/>
    <n v="0"/>
    <n v="11.694006449050164"/>
    <n v="0"/>
    <n v="-1.4029618341014896"/>
    <m/>
    <n v="0"/>
    <n v="0"/>
    <n v="0"/>
    <n v="0"/>
    <n v="-0.44052672107612523"/>
    <n v="-0.78183194019763569"/>
    <n v="0"/>
    <n v="-14.242383243421706"/>
    <m/>
    <m/>
    <m/>
    <n v="3170.0078349416085"/>
    <n v="0"/>
    <n v="0"/>
    <n v="-677.08097999999973"/>
    <n v="65.404260000000022"/>
    <n v="0"/>
    <n v="0"/>
    <n v="-726.64033672885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7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5.62"/>
    <n v="1.5174000000000001"/>
    <n v="5.62"/>
    <n v="1.5174000000000001"/>
    <m/>
    <n v="597.01"/>
    <n v="243.39"/>
    <m/>
    <n v="4723.0479999999998"/>
    <n v="4723.0479999999998"/>
    <n v="4278.3935999999994"/>
    <n v="0"/>
    <n v="139.84514335441051"/>
    <n v="0"/>
    <n v="0"/>
    <n v="0"/>
    <n v="658.60254872704229"/>
    <n v="2304.416509167228"/>
    <n v="1367.8363157830699"/>
    <n v="0"/>
    <n v="0"/>
    <n v="0"/>
    <n v="0"/>
    <n v="0"/>
    <n v="57.094090438821055"/>
    <m/>
    <n v="9.6488173812834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5.5686308803985"/>
    <n v="0"/>
    <n v="0"/>
    <n v="0"/>
    <n v="0"/>
    <n v="0"/>
    <m/>
    <m/>
    <m/>
    <m/>
    <m/>
    <m/>
    <n v="3261.856992"/>
    <m/>
    <m/>
    <n v="1553.4049466634685"/>
    <m/>
    <m/>
    <m/>
    <m/>
    <m/>
    <m/>
    <m/>
    <m/>
    <m/>
    <m/>
    <m/>
    <m/>
    <n v="1018.2783999999999"/>
    <n v="-103.94477000000006"/>
    <m/>
    <m/>
    <m/>
    <m/>
    <n v="-492.19959999999992"/>
    <n v="47.545200000000044"/>
    <n v="29"/>
    <n v="83.590885320990765"/>
    <n v="0"/>
    <n v="0"/>
    <n v="0"/>
    <n v="0"/>
    <n v="0"/>
    <n v="0"/>
    <n v="0"/>
    <n v="24.691416725035765"/>
    <n v="0"/>
    <n v="0"/>
    <n v="62.660454078865541"/>
    <n v="0"/>
    <n v="0"/>
    <n v="0"/>
    <n v="8.5008816768415159"/>
    <n v="0"/>
    <n v="-1.0198739500259251"/>
    <m/>
    <n v="0"/>
    <n v="0"/>
    <n v="0"/>
    <n v="0"/>
    <n v="-0.32023802515170274"/>
    <n v="-0.56834762694486152"/>
    <n v="0"/>
    <n v="-10.353407557629025"/>
    <m/>
    <m/>
    <m/>
    <n v="2304.416509167228"/>
    <n v="0"/>
    <n v="0"/>
    <n v="-492.19959999999992"/>
    <n v="47.545200000000023"/>
    <n v="0"/>
    <n v="0"/>
    <n v="-528.22645096574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8"/>
    <s v="Regular"/>
    <s v="Convencional"/>
    <s v="B1"/>
    <s v="Residencial"/>
    <s v="Residencial"/>
    <s v="Não se aplica"/>
    <s v="Não se aplica"/>
    <s v="Não se aplica"/>
    <s v="CATIVO"/>
    <x v="10"/>
    <n v="0"/>
    <n v="0"/>
    <n v="213.54900000000001"/>
    <n v="213.54900000000001"/>
    <n v="213.54900000000001"/>
    <n v="213.54900000000001"/>
    <m/>
    <n v="597.01"/>
    <n v="243.39"/>
    <m/>
    <n v="179466.5796"/>
    <n v="179466.5796"/>
    <n v="162570.58272000001"/>
    <n v="0"/>
    <n v="5313.8417292154827"/>
    <n v="0"/>
    <n v="0"/>
    <n v="0"/>
    <n v="25025.607771905899"/>
    <n v="87563.316924582279"/>
    <n v="51975.102740063841"/>
    <n v="0"/>
    <n v="0"/>
    <n v="0"/>
    <n v="0"/>
    <n v="0"/>
    <n v="2169.4636866761207"/>
    <m/>
    <n v="366.63617490314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51.2447608324237"/>
    <n v="0"/>
    <n v="51.21"/>
    <n v="236.77"/>
    <n v="1964.03"/>
    <n v="1834"/>
    <m/>
    <m/>
    <m/>
    <m/>
    <m/>
    <m/>
    <m/>
    <m/>
    <m/>
    <n v="59026.347500896263"/>
    <m/>
    <m/>
    <m/>
    <m/>
    <m/>
    <m/>
    <m/>
    <m/>
    <m/>
    <m/>
    <m/>
    <m/>
    <n v="162571.34400000001"/>
    <n v="-16895.265599999984"/>
    <m/>
    <m/>
    <m/>
    <m/>
    <n v="-18702.621419999996"/>
    <n v="1806.6245400000018"/>
    <n v="31"/>
    <n v="3176.2900301445625"/>
    <n v="0"/>
    <n v="0"/>
    <n v="0"/>
    <n v="0"/>
    <n v="0"/>
    <n v="0"/>
    <n v="0"/>
    <n v="938.22550715563557"/>
    <n v="0"/>
    <n v="0"/>
    <n v="2380.9746099800177"/>
    <n v="0"/>
    <n v="0"/>
    <n v="0"/>
    <n v="323.01686498359868"/>
    <n v="0"/>
    <n v="-38.753213906421479"/>
    <m/>
    <n v="0"/>
    <n v="0"/>
    <n v="0"/>
    <n v="0"/>
    <n v="-12.168418155359632"/>
    <n v="-21.596097399723817"/>
    <n v="0"/>
    <n v="-393.40922251318875"/>
    <m/>
    <m/>
    <m/>
    <n v="87563.316924582279"/>
    <n v="0"/>
    <n v="0"/>
    <n v="-18702.621419999996"/>
    <n v="1806.6245399999971"/>
    <n v="0"/>
    <n v="0"/>
    <n v="-20071.571241509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299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3.77"/>
    <n v="3.77"/>
    <n v="3.77"/>
    <n v="3.77"/>
    <m/>
    <n v="597.01"/>
    <n v="243.39"/>
    <m/>
    <n v="3168.308"/>
    <n v="3168.308"/>
    <n v="2870.0255999999999"/>
    <n v="0"/>
    <n v="93.810710043794955"/>
    <n v="0"/>
    <n v="0"/>
    <n v="0"/>
    <n v="441.80277734892337"/>
    <n v="1545.845238355952"/>
    <n v="917.56991290074268"/>
    <n v="0"/>
    <n v="0"/>
    <n v="0"/>
    <n v="0"/>
    <n v="0"/>
    <n v="38.299772411807005"/>
    <m/>
    <n v="6.47260525399264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48287160482248"/>
    <n v="0"/>
    <n v="0"/>
    <n v="0"/>
    <n v="0"/>
    <n v="16"/>
    <m/>
    <m/>
    <m/>
    <m/>
    <m/>
    <m/>
    <m/>
    <m/>
    <m/>
    <n v="1042.0527845055651"/>
    <m/>
    <m/>
    <m/>
    <m/>
    <m/>
    <m/>
    <m/>
    <m/>
    <m/>
    <m/>
    <m/>
    <m/>
    <n v="2870.0255999999999"/>
    <n v="-298.31240000000071"/>
    <m/>
    <m/>
    <m/>
    <m/>
    <n v="-330.17659999999995"/>
    <n v="31.89420000000003"/>
    <n v="31"/>
    <n v="56.074312750914032"/>
    <n v="0"/>
    <n v="0"/>
    <n v="0"/>
    <n v="0"/>
    <n v="0"/>
    <n v="0"/>
    <n v="0"/>
    <n v="16.563459262168124"/>
    <n v="0"/>
    <n v="0"/>
    <n v="42.033792148989846"/>
    <n v="0"/>
    <n v="0"/>
    <n v="0"/>
    <n v="5.702548740514672"/>
    <n v="0"/>
    <n v="-0.68415031878963362"/>
    <m/>
    <n v="0"/>
    <n v="0"/>
    <n v="0"/>
    <n v="0"/>
    <n v="-0.21482159338468421"/>
    <n v="-0.38125810561959472"/>
    <n v="0"/>
    <n v="-6.945257382964666"/>
    <m/>
    <m/>
    <m/>
    <n v="1545.845238355952"/>
    <n v="0"/>
    <n v="0"/>
    <n v="-330.17659999999978"/>
    <n v="31.894200000000069"/>
    <n v="0"/>
    <n v="0"/>
    <n v="-354.34407831687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0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75.36"/>
    <n v="75.36"/>
    <n v="75.36"/>
    <n v="75.36"/>
    <m/>
    <n v="561.96"/>
    <n v="243.39"/>
    <m/>
    <n v="60691.175999999999"/>
    <n v="60691.175999999999"/>
    <n v="54743.011199999994"/>
    <n v="0"/>
    <n v="0"/>
    <n v="0"/>
    <n v="0"/>
    <n v="0"/>
    <n v="8831.3679843540758"/>
    <n v="30900.503226128523"/>
    <n v="18341.662768222803"/>
    <n v="0"/>
    <n v="0"/>
    <n v="0"/>
    <n v="0"/>
    <n v="0"/>
    <n v="0"/>
    <m/>
    <n v="129.383430223046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8.3366589229236"/>
    <n v="0"/>
    <n v="0"/>
    <n v="0"/>
    <n v="0"/>
    <n v="172"/>
    <m/>
    <m/>
    <m/>
    <m/>
    <m/>
    <m/>
    <m/>
    <n v="35582.731200000002"/>
    <m/>
    <n v="20829.999427145725"/>
    <m/>
    <m/>
    <m/>
    <m/>
    <m/>
    <m/>
    <m/>
    <m/>
    <m/>
    <m/>
    <m/>
    <m/>
    <n v="19160.28"/>
    <n v="-2082.2268000000004"/>
    <m/>
    <m/>
    <m/>
    <m/>
    <n v="-6585.7104000000036"/>
    <n v="637.5456000000006"/>
    <n v="31"/>
    <n v="1135.1330479586723"/>
    <n v="0"/>
    <n v="0"/>
    <n v="0"/>
    <n v="0"/>
    <n v="0"/>
    <n v="0"/>
    <n v="0"/>
    <n v="331.0934456225441"/>
    <n v="0"/>
    <n v="0"/>
    <n v="840.22986110023339"/>
    <n v="0"/>
    <n v="0"/>
    <n v="0"/>
    <n v="113.99047031437294"/>
    <n v="0"/>
    <n v="0"/>
    <m/>
    <n v="0"/>
    <n v="0"/>
    <n v="0"/>
    <n v="0"/>
    <n v="0"/>
    <n v="-7.6211169335524289"/>
    <n v="0"/>
    <n v="-142.55961214492893"/>
    <m/>
    <m/>
    <m/>
    <n v="30900.503226128523"/>
    <n v="0"/>
    <n v="0"/>
    <n v="-6585.7104000000036"/>
    <n v="637.54560000000129"/>
    <n v="0"/>
    <n v="0"/>
    <n v="-7083.121947469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1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22.306"/>
    <n v="122.306"/>
    <n v="122.306"/>
    <n v="122.306"/>
    <m/>
    <n v="561.96"/>
    <n v="243.39"/>
    <m/>
    <n v="98499.137100000007"/>
    <n v="98499.137100000007"/>
    <n v="88845.524519999992"/>
    <n v="0"/>
    <n v="0"/>
    <n v="0"/>
    <n v="0"/>
    <n v="0"/>
    <n v="14332.925858471464"/>
    <n v="50150.17180964537"/>
    <n v="29767.720362662658"/>
    <n v="0"/>
    <n v="0"/>
    <n v="0"/>
    <n v="0"/>
    <n v="0"/>
    <n v="0"/>
    <m/>
    <n v="209.98367591374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38.4620940316759"/>
    <n v="0"/>
    <n v="0"/>
    <n v="0"/>
    <n v="0"/>
    <n v="1382"/>
    <m/>
    <m/>
    <m/>
    <m/>
    <m/>
    <m/>
    <m/>
    <n v="35538.454419999995"/>
    <m/>
    <n v="33806.182456694332"/>
    <m/>
    <m/>
    <m/>
    <m/>
    <m/>
    <m/>
    <m/>
    <m/>
    <m/>
    <m/>
    <m/>
    <m/>
    <n v="53308.813500000004"/>
    <n v="-5790.6987600000066"/>
    <m/>
    <m/>
    <m/>
    <m/>
    <n v="-10688.321340000006"/>
    <n v="1034.7087600000009"/>
    <n v="31"/>
    <n v="1842.271530833772"/>
    <n v="0"/>
    <n v="0"/>
    <n v="0"/>
    <n v="0"/>
    <n v="0"/>
    <n v="0"/>
    <n v="0"/>
    <n v="537.35025159648103"/>
    <n v="0"/>
    <n v="0"/>
    <n v="1363.6564940515564"/>
    <n v="0"/>
    <n v="0"/>
    <n v="0"/>
    <n v="185.0015719515618"/>
    <n v="0"/>
    <n v="0"/>
    <m/>
    <n v="0"/>
    <n v="0"/>
    <n v="0"/>
    <n v="0"/>
    <n v="0"/>
    <n v="-12.368741078490757"/>
    <n v="0"/>
    <n v="-231.36804568733646"/>
    <m/>
    <m/>
    <m/>
    <n v="50150.17180964537"/>
    <n v="0"/>
    <n v="0"/>
    <n v="-10688.32134000001"/>
    <n v="1034.7087599999977"/>
    <n v="0"/>
    <n v="0"/>
    <n v="-11495.59863199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2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46.878"/>
    <n v="46.878"/>
    <n v="46.878"/>
    <n v="46.878"/>
    <m/>
    <n v="561.96"/>
    <n v="243.39"/>
    <m/>
    <n v="37753.1973"/>
    <n v="37753.1973"/>
    <n v="34053.116759999997"/>
    <n v="0"/>
    <n v="0"/>
    <n v="0"/>
    <n v="0"/>
    <n v="0"/>
    <n v="5493.5890176559233"/>
    <n v="19221.785963832976"/>
    <n v="11409.507261793373"/>
    <n v="0"/>
    <n v="0"/>
    <n v="0"/>
    <n v="0"/>
    <n v="0"/>
    <n v="0"/>
    <m/>
    <n v="80.483498434129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7.8801207137581"/>
    <n v="0"/>
    <n v="0"/>
    <n v="0"/>
    <n v="0"/>
    <n v="835"/>
    <m/>
    <m/>
    <m/>
    <m/>
    <m/>
    <m/>
    <m/>
    <n v="3405.2179199999991"/>
    <m/>
    <n v="12957.387382507131"/>
    <m/>
    <m/>
    <m/>
    <m/>
    <m/>
    <m/>
    <m/>
    <m/>
    <m/>
    <m/>
    <m/>
    <m/>
    <n v="30649.206400000003"/>
    <n v="-3328.9355599999981"/>
    <m/>
    <m/>
    <m/>
    <m/>
    <n v="-4096.6684200000018"/>
    <n v="396.58788000000038"/>
    <n v="31"/>
    <n v="706.11421207811145"/>
    <n v="0"/>
    <n v="0"/>
    <n v="0"/>
    <n v="0"/>
    <n v="0"/>
    <n v="0"/>
    <n v="0"/>
    <n v="205.95804861854594"/>
    <n v="0"/>
    <n v="0"/>
    <n v="522.6684637560611"/>
    <n v="0"/>
    <n v="0"/>
    <n v="0"/>
    <n v="70.90824399412395"/>
    <n v="0"/>
    <n v="0"/>
    <m/>
    <n v="0"/>
    <n v="0"/>
    <n v="0"/>
    <n v="0"/>
    <n v="0"/>
    <n v="-4.7407473409112413"/>
    <n v="0"/>
    <n v="-88.679796949707764"/>
    <m/>
    <m/>
    <m/>
    <n v="19221.785963832976"/>
    <n v="0"/>
    <n v="0"/>
    <n v="-4096.6684200000018"/>
    <n v="396.58788000000095"/>
    <n v="0"/>
    <n v="0"/>
    <n v="-4406.0853324505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3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16.321000000000002"/>
    <n v="16.321000000000002"/>
    <n v="16.321000000000002"/>
    <n v="16.321000000000002"/>
    <m/>
    <n v="561.96"/>
    <n v="243.39"/>
    <m/>
    <n v="13144.11735"/>
    <n v="13144.11735"/>
    <n v="11855.900820000001"/>
    <n v="0"/>
    <n v="0"/>
    <n v="0"/>
    <n v="0"/>
    <n v="0"/>
    <n v="1912.642739817448"/>
    <n v="6692.2387626545078"/>
    <n v="3972.3232224013323"/>
    <n v="0"/>
    <n v="0"/>
    <n v="0"/>
    <n v="0"/>
    <n v="0"/>
    <n v="0"/>
    <m/>
    <n v="28.021058448385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8.90847412793312"/>
    <n v="0"/>
    <n v="61.35"/>
    <n v="283.08"/>
    <n v="1331.04"/>
    <n v="123"/>
    <m/>
    <m/>
    <m/>
    <m/>
    <m/>
    <m/>
    <m/>
    <m/>
    <m/>
    <n v="4511.2316965292657"/>
    <m/>
    <m/>
    <m/>
    <m/>
    <m/>
    <m/>
    <m/>
    <m/>
    <m/>
    <m/>
    <m/>
    <m/>
    <n v="11855.1744"/>
    <n v="-1288.9729500000012"/>
    <m/>
    <m/>
    <m/>
    <m/>
    <n v="-1426.2921900000008"/>
    <n v="138.07566000000014"/>
    <n v="31"/>
    <n v="245.84005408351186"/>
    <n v="0"/>
    <n v="0"/>
    <n v="0"/>
    <n v="0"/>
    <n v="0"/>
    <n v="0"/>
    <n v="0"/>
    <n v="71.706158784574654"/>
    <n v="0"/>
    <n v="0"/>
    <n v="181.97175640946034"/>
    <n v="0"/>
    <n v="0"/>
    <n v="0"/>
    <n v="24.687346947994683"/>
    <n v="0"/>
    <n v="0"/>
    <m/>
    <n v="0"/>
    <n v="0"/>
    <n v="0"/>
    <n v="0"/>
    <n v="0"/>
    <n v="-1.6505340959727874"/>
    <n v="0"/>
    <n v="-30.874673962544925"/>
    <m/>
    <m/>
    <m/>
    <n v="6692.2387626545078"/>
    <n v="0"/>
    <n v="0"/>
    <n v="-1426.292190000001"/>
    <n v="138.07566000000043"/>
    <n v="0"/>
    <n v="0"/>
    <n v="-1534.0184886498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4"/>
    <s v="Regular"/>
    <s v="Branca"/>
    <s v="B1"/>
    <s v="Residencial"/>
    <s v="Residencial"/>
    <s v="Não se aplica"/>
    <s v="Não se aplica"/>
    <s v="Fora ponta"/>
    <s v="CATIVO"/>
    <x v="10"/>
    <n v="0"/>
    <n v="0"/>
    <n v="0.191"/>
    <n v="0.191"/>
    <n v="0.191"/>
    <n v="0.191"/>
    <m/>
    <n v="386.11"/>
    <n v="243.39"/>
    <m/>
    <n v="120.2345"/>
    <n v="120.2345"/>
    <n v="111.91072"/>
    <n v="0"/>
    <n v="4.7527441958527419"/>
    <n v="0"/>
    <n v="0"/>
    <n v="0"/>
    <n v="13.429690219116511"/>
    <n v="46.990422101245329"/>
    <n v="46.486963757040279"/>
    <n v="0"/>
    <n v="0"/>
    <n v="0"/>
    <n v="0"/>
    <n v="0"/>
    <n v="1.940386347653883"/>
    <m/>
    <n v="0.327922441250025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06691903586497"/>
    <n v="0"/>
    <n v="0"/>
    <n v="0"/>
    <n v="0"/>
    <n v="0"/>
    <m/>
    <m/>
    <m/>
    <m/>
    <m/>
    <m/>
    <m/>
    <m/>
    <m/>
    <n v="52.793655660626776"/>
    <m/>
    <m/>
    <m/>
    <m/>
    <m/>
    <m/>
    <m/>
    <m/>
    <m/>
    <m/>
    <m/>
    <m/>
    <n v="111.32480000000001"/>
    <n v="-8.939700000000002"/>
    <m/>
    <m/>
    <m/>
    <m/>
    <n v="-9.9396400000000042"/>
    <n v="1.6158600000000016"/>
    <n v="31"/>
    <n v="2.4483651977150913"/>
    <n v="0"/>
    <n v="0"/>
    <n v="0"/>
    <n v="0"/>
    <n v="0"/>
    <n v="0"/>
    <n v="0"/>
    <n v="0.50348738906223822"/>
    <n v="0"/>
    <n v="0"/>
    <n v="2.1295634749222998"/>
    <n v="0"/>
    <n v="0"/>
    <n v="0"/>
    <n v="0.28890896802077037"/>
    <n v="0"/>
    <n v="-3.4661196522233872E-2"/>
    <m/>
    <n v="0"/>
    <n v="0"/>
    <n v="0"/>
    <n v="0"/>
    <n v="-1.0883534306757259E-2"/>
    <n v="-1.9315728958446299E-2"/>
    <n v="0"/>
    <n v="-0.40873417450276878"/>
    <m/>
    <m/>
    <m/>
    <n v="46.990422101245329"/>
    <n v="0"/>
    <n v="0"/>
    <n v="-9.9396400000000042"/>
    <n v="1.6158599999999979"/>
    <n v="0"/>
    <n v="0"/>
    <n v="-10.771309699084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5"/>
    <s v="Regular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306"/>
    <s v="Regular"/>
    <s v="Branca"/>
    <s v="B1"/>
    <s v="Residencial"/>
    <s v="Residencial"/>
    <s v="Não se aplica"/>
    <s v="Não se aplica"/>
    <s v="Intermediário"/>
    <s v="CATIVO"/>
    <x v="10"/>
    <n v="0"/>
    <n v="0"/>
    <n v="2E-3"/>
    <n v="2E-3"/>
    <n v="2E-3"/>
    <n v="2E-3"/>
    <m/>
    <n v="1018.79"/>
    <n v="243.39"/>
    <m/>
    <n v="2.5243600000000002"/>
    <n v="2.5243600000000002"/>
    <n v="2.2239399999999998"/>
    <n v="0"/>
    <n v="4.9766954930395201E-2"/>
    <n v="0"/>
    <n v="0"/>
    <n v="0"/>
    <n v="0.42187901721834603"/>
    <n v="1.4761387266510981"/>
    <n v="0.48677448960251601"/>
    <n v="0"/>
    <n v="0"/>
    <n v="0"/>
    <n v="0"/>
    <n v="0"/>
    <n v="2.0318181650825998E-2"/>
    <m/>
    <n v="3.43374284031440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038658676298392E-2"/>
    <n v="0"/>
    <n v="0"/>
    <n v="0"/>
    <n v="0"/>
    <n v="0"/>
    <m/>
    <m/>
    <m/>
    <m/>
    <m/>
    <m/>
    <m/>
    <m/>
    <m/>
    <n v="0.55281314827881445"/>
    <m/>
    <m/>
    <m/>
    <m/>
    <m/>
    <m/>
    <m/>
    <m/>
    <m/>
    <m/>
    <m/>
    <m/>
    <n v="0"/>
    <n v="-2.5543599999999995"/>
    <m/>
    <m/>
    <m/>
    <m/>
    <n v="-0.3173399999999999"/>
    <n v="1.6920000000000015E-2"/>
    <n v="31"/>
    <n v="3.7968067562393015E-2"/>
    <n v="0"/>
    <n v="0"/>
    <n v="0"/>
    <n v="0"/>
    <n v="0"/>
    <n v="0"/>
    <n v="0"/>
    <n v="1.581650517724198E-2"/>
    <n v="0"/>
    <n v="0"/>
    <n v="2.2299093978244033E-2"/>
    <n v="0"/>
    <n v="0"/>
    <n v="0"/>
    <n v="3.0252247960290135E-3"/>
    <n v="0"/>
    <n v="-3.6294446620139392E-4"/>
    <m/>
    <n v="0"/>
    <n v="0"/>
    <n v="0"/>
    <n v="0"/>
    <n v="-1.1396371001839989E-4"/>
    <n v="-2.0225894197326011E-4"/>
    <n v="0"/>
    <n v="-2.4935892709286997E-3"/>
    <m/>
    <m/>
    <m/>
    <n v="1.4761387266510981"/>
    <n v="0"/>
    <n v="0"/>
    <n v="-0.31734000000000018"/>
    <n v="1.6920000000000046E-2"/>
    <n v="0"/>
    <n v="0"/>
    <n v="-0.33836570672451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7"/>
    <s v="Regular"/>
    <s v="Convencional"/>
    <s v="B3"/>
    <s v="Industrial"/>
    <s v="Não se aplica"/>
    <s v="Não se aplica"/>
    <s v="Não se aplica"/>
    <s v="Não se aplica"/>
    <s v="CATIVO"/>
    <x v="10"/>
    <n v="0"/>
    <n v="0"/>
    <n v="1.3620000000000001"/>
    <n v="1.3620000000000001"/>
    <n v="1.3620000000000001"/>
    <n v="1.3620000000000001"/>
    <m/>
    <n v="597.01"/>
    <n v="243.39"/>
    <m/>
    <n v="1144.6248000000001"/>
    <n v="1144.6248000000001"/>
    <n v="1036.8633600000001"/>
    <n v="0"/>
    <n v="33.891296307599134"/>
    <n v="0"/>
    <n v="0"/>
    <n v="0"/>
    <n v="159.61150736053943"/>
    <n v="558.47247072700441"/>
    <n v="331.49342741931343"/>
    <n v="0"/>
    <n v="0"/>
    <n v="0"/>
    <n v="0"/>
    <n v="0"/>
    <n v="13.836681704212506"/>
    <m/>
    <n v="2.3383788742541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97232655855921"/>
    <n v="0"/>
    <n v="0"/>
    <n v="0"/>
    <n v="0"/>
    <n v="4"/>
    <m/>
    <m/>
    <m/>
    <m/>
    <m/>
    <m/>
    <m/>
    <m/>
    <m/>
    <n v="376.46575397787262"/>
    <m/>
    <m/>
    <m/>
    <m/>
    <m/>
    <m/>
    <m/>
    <m/>
    <m/>
    <m/>
    <m/>
    <m/>
    <n v="1035.3408000000002"/>
    <n v="-109.31399999999985"/>
    <m/>
    <m/>
    <m/>
    <m/>
    <n v="-119.28395999999999"/>
    <n v="11.522520000000013"/>
    <n v="31"/>
    <n v="20.258146940781103"/>
    <n v="0"/>
    <n v="0"/>
    <n v="0"/>
    <n v="0"/>
    <n v="0"/>
    <n v="0"/>
    <n v="0"/>
    <n v="5.9839340888787831"/>
    <n v="0"/>
    <n v="0"/>
    <n v="15.185682999184166"/>
    <n v="0"/>
    <n v="0"/>
    <n v="0"/>
    <n v="2.0601780860957533"/>
    <n v="0"/>
    <n v="-0.24716518148315458"/>
    <m/>
    <n v="0"/>
    <n v="0"/>
    <n v="0"/>
    <n v="0"/>
    <n v="-7.7609286522529075E-2"/>
    <n v="-0.13773833948379011"/>
    <n v="0"/>
    <n v="-2.5091354258880307"/>
    <m/>
    <m/>
    <m/>
    <n v="558.47247072700441"/>
    <n v="0"/>
    <n v="0"/>
    <n v="-119.28395999999998"/>
    <n v="11.522519999999986"/>
    <n v="0"/>
    <n v="0"/>
    <n v="-128.0150224582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8"/>
    <s v="Regular"/>
    <s v="Verde"/>
    <s v="A4"/>
    <s v="Industrial"/>
    <s v="Não se aplica"/>
    <s v="Não se aplica"/>
    <s v="Não se aplica"/>
    <s v="Ponta"/>
    <s v="CATIVO"/>
    <x v="10"/>
    <n v="0"/>
    <n v="0"/>
    <n v="0.21"/>
    <n v="0.21"/>
    <n v="0.21"/>
    <n v="0.21"/>
    <m/>
    <n v="2773.91"/>
    <n v="243.39"/>
    <m/>
    <n v="633.63299999999992"/>
    <n v="633.63299999999992"/>
    <n v="545.44769999999994"/>
    <n v="0"/>
    <n v="4.5462113328915992"/>
    <n v="0"/>
    <n v="0"/>
    <n v="0"/>
    <n v="151.30657904591544"/>
    <n v="421.20658645742668"/>
    <n v="51.111321408264175"/>
    <n v="0"/>
    <n v="0"/>
    <n v="0"/>
    <n v="0"/>
    <n v="0"/>
    <n v="2.1334090733367299"/>
    <m/>
    <n v="0.14567248947201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83417075538518"/>
    <n v="0"/>
    <n v="0"/>
    <n v="0"/>
    <n v="0"/>
    <n v="0"/>
    <m/>
    <m/>
    <m/>
    <m/>
    <m/>
    <m/>
    <m/>
    <m/>
    <m/>
    <n v="54.294738483802689"/>
    <m/>
    <m/>
    <m/>
    <m/>
    <m/>
    <m/>
    <m/>
    <m/>
    <m/>
    <m/>
    <m/>
    <m/>
    <n v="545.44769999999994"/>
    <n v="-88.215299999999957"/>
    <m/>
    <m/>
    <m/>
    <m/>
    <n v="-89.961899999999972"/>
    <n v="1.7766000000000015"/>
    <n v="31"/>
    <n v="8.3646224016490294"/>
    <n v="0"/>
    <n v="0"/>
    <n v="0"/>
    <n v="0"/>
    <n v="0"/>
    <n v="0"/>
    <n v="0"/>
    <n v="5.6725771919390695"/>
    <n v="0"/>
    <n v="0"/>
    <n v="2.3414048677156245"/>
    <n v="0"/>
    <n v="0"/>
    <n v="0"/>
    <n v="0.14583203938512268"/>
    <n v="0"/>
    <n v="-3.3154976987495921E-2"/>
    <m/>
    <n v="0"/>
    <n v="0"/>
    <n v="0"/>
    <n v="0"/>
    <n v="-1.1966189551932072E-2"/>
    <n v="-8.5805970235448281E-3"/>
    <n v="0"/>
    <n v="0.25851006617220329"/>
    <m/>
    <m/>
    <m/>
    <n v="421.20658645742668"/>
    <n v="0"/>
    <n v="0"/>
    <n v="-89.961899999999957"/>
    <n v="1.7765999999999948"/>
    <n v="0"/>
    <n v="0"/>
    <n v="-96.550454053206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09"/>
    <s v="Regular"/>
    <s v="Verde"/>
    <s v="A4"/>
    <s v="Industrial"/>
    <s v="Não se aplica"/>
    <s v="Não se aplica"/>
    <s v="Não se aplica"/>
    <s v="Fora ponta"/>
    <s v="CATIVO"/>
    <x v="10"/>
    <n v="0"/>
    <n v="0"/>
    <n v="27.555"/>
    <n v="27.555"/>
    <n v="27.555"/>
    <n v="27.555"/>
    <m/>
    <n v="47.66"/>
    <n v="243.39"/>
    <m/>
    <n v="8019.8827499999989"/>
    <n v="8019.8827499999989"/>
    <n v="8267.0511000000006"/>
    <n v="0"/>
    <n v="596.52787275156197"/>
    <n v="0"/>
    <n v="0"/>
    <n v="0"/>
    <n v="0"/>
    <n v="0"/>
    <n v="6706.5355304986642"/>
    <n v="0"/>
    <n v="0"/>
    <n v="0"/>
    <n v="0"/>
    <n v="0"/>
    <n v="279.9337476942552"/>
    <m/>
    <n v="19.1143116542916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7.70979769744696"/>
    <n v="0"/>
    <n v="0"/>
    <n v="0"/>
    <n v="0"/>
    <n v="0"/>
    <m/>
    <m/>
    <m/>
    <m/>
    <m/>
    <m/>
    <m/>
    <m/>
    <m/>
    <n v="7124.2453281961116"/>
    <m/>
    <m/>
    <m/>
    <m/>
    <m/>
    <m/>
    <m/>
    <m/>
    <m/>
    <m/>
    <m/>
    <m/>
    <n v="8268.5511999999999"/>
    <n v="248.63845000000038"/>
    <m/>
    <m/>
    <m/>
    <m/>
    <n v="14.053050000000141"/>
    <n v="233.11530000000022"/>
    <n v="31"/>
    <n v="247.18162043744906"/>
    <n v="0"/>
    <n v="0"/>
    <n v="0"/>
    <n v="0"/>
    <n v="0"/>
    <n v="0"/>
    <n v="0"/>
    <n v="0"/>
    <n v="0"/>
    <n v="0"/>
    <n v="307.22576728525655"/>
    <n v="0"/>
    <n v="0"/>
    <n v="0"/>
    <n v="19.135246882176489"/>
    <n v="0"/>
    <n v="-4.3504066232878813"/>
    <m/>
    <n v="0"/>
    <n v="0"/>
    <n v="0"/>
    <n v="0"/>
    <n v="-1.5701350147784865"/>
    <n v="-1.1258969094465598"/>
    <n v="0"/>
    <n v="-72.13295518247034"/>
    <m/>
    <m/>
    <m/>
    <n v="0"/>
    <n v="0"/>
    <n v="0"/>
    <n v="14.053050000000212"/>
    <n v="233.115300000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10"/>
    <s v="Regular"/>
    <s v="Verde"/>
    <s v="A4"/>
    <s v="Industrial"/>
    <s v="Não se aplica"/>
    <s v="Não se aplica"/>
    <s v="Não se aplica"/>
    <s v="Não se aplica"/>
    <s v="CATIVO"/>
    <x v="10"/>
    <n v="122"/>
    <n v="122"/>
    <n v="0"/>
    <n v="0"/>
    <n v="0"/>
    <n v="0"/>
    <n v="50.27"/>
    <m/>
    <m/>
    <n v="6132.9400000000005"/>
    <m/>
    <n v="6132.9400000000005"/>
    <n v="5514.4000000000005"/>
    <n v="0"/>
    <n v="0"/>
    <n v="0"/>
    <n v="0"/>
    <n v="0"/>
    <n v="2923.1118475037447"/>
    <n v="3209.27254991520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514.4000000000005"/>
    <n v="-618.57000000000062"/>
    <m/>
    <m/>
    <m/>
    <m/>
    <n v="-618.54000000000008"/>
    <n v="0"/>
    <n v="31"/>
    <n v="118.24664915550738"/>
    <n v="0"/>
    <n v="0"/>
    <n v="0"/>
    <n v="0"/>
    <m/>
    <m/>
    <m/>
    <n v="109.58927034234011"/>
    <n v="0"/>
    <n v="0"/>
    <m/>
    <m/>
    <n v="0"/>
    <n v="0"/>
    <n v="0"/>
    <n v="0"/>
    <n v="0"/>
    <m/>
    <n v="0"/>
    <n v="0"/>
    <m/>
    <n v="0"/>
    <n v="0"/>
    <n v="0"/>
    <n v="0"/>
    <n v="8.6573788131670941"/>
    <m/>
    <m/>
    <n v="3209.2725499152057"/>
    <m/>
    <n v="0"/>
    <n v="0"/>
    <n v="-618.54"/>
    <m/>
    <n v="0"/>
    <m/>
    <n v="-735.6407326885955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311"/>
    <s v="Regular"/>
    <s v="Convencional"/>
    <s v="B3"/>
    <s v="Comercial"/>
    <s v="Não se aplica"/>
    <s v="Não se aplica"/>
    <s v="Não se aplica"/>
    <s v="Não se aplica"/>
    <s v="CATIVO"/>
    <x v="10"/>
    <n v="0"/>
    <n v="0"/>
    <n v="65.599000000000004"/>
    <n v="65.599000000000004"/>
    <n v="65.599000000000004"/>
    <n v="65.599000000000004"/>
    <m/>
    <n v="597.01"/>
    <n v="243.39"/>
    <m/>
    <n v="55129.399600000004"/>
    <n v="55129.399600000004"/>
    <n v="49939.206720000002"/>
    <n v="0"/>
    <n v="1632.3312382394975"/>
    <n v="0"/>
    <n v="0"/>
    <n v="0"/>
    <n v="7687.4855149368768"/>
    <n v="26898.117185918327"/>
    <n v="15965.959871717723"/>
    <n v="0"/>
    <n v="0"/>
    <n v="0"/>
    <n v="0"/>
    <n v="0"/>
    <n v="666.42619905626736"/>
    <m/>
    <n v="112.62504829089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6.0349852532495"/>
    <n v="0"/>
    <n v="81.47"/>
    <n v="376.28"/>
    <n v="4620.09"/>
    <n v="208"/>
    <m/>
    <m/>
    <m/>
    <m/>
    <m/>
    <m/>
    <m/>
    <m/>
    <m/>
    <n v="18131.994856970974"/>
    <m/>
    <m/>
    <m/>
    <m/>
    <m/>
    <m/>
    <m/>
    <m/>
    <m/>
    <m/>
    <m/>
    <m/>
    <n v="49939.967999999993"/>
    <n v="-5189.4616000000169"/>
    <m/>
    <m/>
    <m/>
    <m/>
    <n v="-5745.1604199999992"/>
    <n v="554.96754000000055"/>
    <n v="31"/>
    <n v="975.70791568892309"/>
    <n v="0"/>
    <n v="0"/>
    <n v="0"/>
    <n v="0"/>
    <n v="0"/>
    <n v="0"/>
    <n v="0"/>
    <n v="288.20858465224592"/>
    <n v="0"/>
    <n v="0"/>
    <n v="731.3991329394139"/>
    <n v="0"/>
    <n v="0"/>
    <n v="0"/>
    <n v="99.225860697353255"/>
    <n v="0"/>
    <n v="-11.90439701917262"/>
    <m/>
    <n v="0"/>
    <n v="0"/>
    <n v="0"/>
    <n v="0"/>
    <n v="-3.7379527067485014"/>
    <n v="-6.6339921672519324"/>
    <n v="0"/>
    <n v="-120.84932070692282"/>
    <m/>
    <m/>
    <m/>
    <n v="26898.117185918327"/>
    <n v="0"/>
    <n v="0"/>
    <n v="-5745.1604200000002"/>
    <n v="554.96753999999964"/>
    <n v="0"/>
    <n v="0"/>
    <n v="-6165.680953185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12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6.6639999999999997"/>
    <n v="6.6639999999999997"/>
    <n v="6.6639999999999997"/>
    <n v="6.6639999999999997"/>
    <m/>
    <n v="597.01"/>
    <n v="243.39"/>
    <m/>
    <n v="5600.4255999999996"/>
    <n v="5600.4255999999996"/>
    <n v="5073.1699200000003"/>
    <n v="0"/>
    <n v="165.82349382807681"/>
    <n v="0"/>
    <n v="0"/>
    <n v="0"/>
    <n v="780.94793322366718"/>
    <n v="2732.4967290196455"/>
    <n v="1621.9325993555831"/>
    <n v="0"/>
    <n v="0"/>
    <n v="0"/>
    <n v="0"/>
    <n v="0"/>
    <n v="67.700181260552228"/>
    <m/>
    <n v="11.441231143927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.04081070942624"/>
    <n v="0"/>
    <n v="0"/>
    <n v="0"/>
    <n v="0"/>
    <n v="7"/>
    <m/>
    <m/>
    <m/>
    <m/>
    <m/>
    <m/>
    <m/>
    <m/>
    <m/>
    <n v="1841.9734100650094"/>
    <m/>
    <m/>
    <m/>
    <m/>
    <m/>
    <m/>
    <m/>
    <m/>
    <m/>
    <m/>
    <m/>
    <m/>
    <n v="5070.1247999999996"/>
    <n v="-530.33080000000064"/>
    <m/>
    <m/>
    <m/>
    <m/>
    <n v="-583.63311999999985"/>
    <n v="56.37744000000005"/>
    <n v="31"/>
    <n v="99.119156544321868"/>
    <n v="0"/>
    <n v="0"/>
    <n v="0"/>
    <n v="0"/>
    <n v="0"/>
    <n v="0"/>
    <n v="0"/>
    <n v="29.278220828405438"/>
    <n v="0"/>
    <n v="0"/>
    <n v="74.300581135509219"/>
    <n v="0"/>
    <n v="0"/>
    <n v="0"/>
    <n v="10.080049020368676"/>
    <n v="0"/>
    <n v="-1.2093309613830741"/>
    <m/>
    <n v="0"/>
    <n v="0"/>
    <n v="0"/>
    <n v="0"/>
    <n v="-0.37972708178131143"/>
    <n v="-0.67392679465490168"/>
    <n v="0"/>
    <n v="-12.276709602142315"/>
    <m/>
    <m/>
    <m/>
    <n v="2732.4967290196455"/>
    <n v="0"/>
    <n v="0"/>
    <n v="-583.63311999999996"/>
    <n v="56.377439999999979"/>
    <n v="0"/>
    <n v="0"/>
    <n v="-626.3525034227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13"/>
    <s v="Regular"/>
    <s v="Branca"/>
    <s v="B3"/>
    <s v="Comercial"/>
    <s v="Não se aplica"/>
    <s v="Não se aplica"/>
    <s v="Não se aplica"/>
    <s v="Ponta"/>
    <s v="CATIVO"/>
    <x v="10"/>
    <n v="0"/>
    <n v="0"/>
    <n v="1.2E-2"/>
    <n v="1.2E-2"/>
    <n v="1.2E-2"/>
    <n v="1.2E-2"/>
    <m/>
    <n v="1783.27"/>
    <n v="243.39"/>
    <m/>
    <n v="24.31992"/>
    <n v="24.31992"/>
    <n v="20.971440000000001"/>
    <n v="0"/>
    <n v="0.29860172958237119"/>
    <n v="0"/>
    <n v="0"/>
    <n v="0"/>
    <n v="4.5703759872473402"/>
    <n v="15.9915089353344"/>
    <n v="2.9206469376150959"/>
    <n v="0"/>
    <n v="0"/>
    <n v="0"/>
    <n v="0"/>
    <n v="0"/>
    <n v="0.121909089904956"/>
    <m/>
    <n v="2.06024570418863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9623195205779038"/>
    <n v="0"/>
    <n v="0"/>
    <n v="0"/>
    <n v="0"/>
    <n v="0"/>
    <m/>
    <m/>
    <m/>
    <m/>
    <m/>
    <m/>
    <m/>
    <m/>
    <m/>
    <n v="3.3168788896728865"/>
    <m/>
    <m/>
    <m/>
    <m/>
    <m/>
    <m/>
    <m/>
    <m/>
    <m/>
    <m/>
    <m/>
    <m/>
    <n v="17.476200000000002"/>
    <n v="-6.8737200000000023"/>
    <m/>
    <m/>
    <m/>
    <m/>
    <n v="-3.45"/>
    <n v="0.1015200000000001"/>
    <n v="31"/>
    <n v="0.31720665516410662"/>
    <n v="0"/>
    <n v="0"/>
    <n v="0"/>
    <n v="0"/>
    <n v="0"/>
    <n v="0"/>
    <n v="0"/>
    <n v="0.17134622134293576"/>
    <n v="0"/>
    <n v="0"/>
    <n v="0.13379456386946398"/>
    <n v="0"/>
    <n v="0"/>
    <n v="0"/>
    <n v="1.8151348776174026E-2"/>
    <n v="0"/>
    <n v="-2.1776667972083774E-3"/>
    <m/>
    <n v="0"/>
    <n v="0"/>
    <n v="0"/>
    <n v="0"/>
    <n v="-6.8378226011039933E-4"/>
    <n v="-1.2135536518395572E-3"/>
    <n v="0"/>
    <n v="-2.0104761153067197E-3"/>
    <m/>
    <m/>
    <m/>
    <n v="15.9915089353344"/>
    <n v="0"/>
    <n v="0"/>
    <n v="-3.4499999999999993"/>
    <n v="0.10151999999999983"/>
    <n v="0"/>
    <n v="0"/>
    <n v="-3.66562987936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14"/>
    <s v="Regular"/>
    <s v="Branca"/>
    <s v="B3"/>
    <s v="Comercial"/>
    <s v="Não se aplica"/>
    <s v="Não se aplica"/>
    <s v="Não se aplica"/>
    <s v="Fora ponta"/>
    <s v="CATIVO"/>
    <x v="10"/>
    <n v="0"/>
    <n v="0"/>
    <n v="0.41099999999999998"/>
    <n v="0.41099999999999998"/>
    <n v="0.41099999999999998"/>
    <n v="0.41099999999999998"/>
    <m/>
    <n v="412.48"/>
    <n v="243.39"/>
    <m/>
    <n v="269.56256999999999"/>
    <n v="269.56256999999999"/>
    <n v="249.82634999999999"/>
    <n v="0"/>
    <n v="10.227109238196213"/>
    <n v="0"/>
    <n v="0"/>
    <n v="0"/>
    <n v="31.307569809423917"/>
    <n v="109.54188245049602"/>
    <n v="100.03215761331703"/>
    <n v="0"/>
    <n v="0"/>
    <n v="0"/>
    <n v="0"/>
    <n v="0"/>
    <n v="4.1753863292447422"/>
    <m/>
    <n v="0.705634153684609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57094435797932"/>
    <n v="0"/>
    <n v="0"/>
    <n v="0"/>
    <n v="0"/>
    <n v="0"/>
    <m/>
    <m/>
    <m/>
    <m/>
    <m/>
    <m/>
    <m/>
    <m/>
    <m/>
    <n v="113.60310197129634"/>
    <m/>
    <m/>
    <m/>
    <m/>
    <m/>
    <m/>
    <m/>
    <m/>
    <m/>
    <m/>
    <m/>
    <m/>
    <n v="249.21849999999998"/>
    <n v="-20.374069999999989"/>
    <m/>
    <m/>
    <m/>
    <m/>
    <n v="-23.213280000000005"/>
    <n v="3.4770600000000029"/>
    <n v="31"/>
    <n v="5.3740883299022357"/>
    <n v="0"/>
    <n v="0"/>
    <n v="0"/>
    <n v="0"/>
    <n v="0"/>
    <n v="0"/>
    <n v="0"/>
    <n v="1.1737401476910208"/>
    <n v="0"/>
    <n v="0"/>
    <n v="4.5824638125291415"/>
    <n v="0"/>
    <n v="0"/>
    <n v="0"/>
    <n v="0.62168369558396108"/>
    <n v="0"/>
    <n v="-7.4585087804386774E-2"/>
    <m/>
    <n v="0"/>
    <n v="0"/>
    <n v="0"/>
    <n v="0"/>
    <n v="-2.3419542408780636E-2"/>
    <n v="-4.1564212575504911E-2"/>
    <n v="0"/>
    <n v="-0.8642304831132428"/>
    <m/>
    <m/>
    <m/>
    <n v="109.54188245049602"/>
    <n v="0"/>
    <n v="0"/>
    <n v="-23.213279999999997"/>
    <n v="3.4770599999999945"/>
    <n v="0"/>
    <n v="0"/>
    <n v="-25.109575273717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15"/>
    <s v="Regular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316"/>
    <s v="Regular"/>
    <s v="Branca"/>
    <s v="B3"/>
    <s v="Comercial"/>
    <s v="Não se aplica"/>
    <s v="Não se aplica"/>
    <s v="Não se aplica"/>
    <s v="Intermediário"/>
    <s v="CATIVO"/>
    <x v="10"/>
    <n v="0"/>
    <n v="0"/>
    <n v="1.4E-2"/>
    <n v="1.4E-2"/>
    <n v="1.4E-2"/>
    <n v="1.4E-2"/>
    <m/>
    <n v="1097.8699999999999"/>
    <n v="243.39"/>
    <m/>
    <n v="18.777639999999998"/>
    <n v="18.777639999999998"/>
    <n v="16.488219999999998"/>
    <n v="0"/>
    <n v="0.34836868451276642"/>
    <n v="0"/>
    <n v="0"/>
    <n v="0"/>
    <n v="3.1992877995222062"/>
    <n v="11.194054416997425"/>
    <n v="3.4074214272176118"/>
    <n v="0"/>
    <n v="0"/>
    <n v="0"/>
    <n v="0"/>
    <n v="0"/>
    <n v="0.14222727155578199"/>
    <m/>
    <n v="2.4036199882200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6227061073408876"/>
    <n v="0"/>
    <n v="0"/>
    <n v="0"/>
    <n v="0"/>
    <n v="0"/>
    <m/>
    <m/>
    <m/>
    <m/>
    <m/>
    <m/>
    <m/>
    <m/>
    <m/>
    <n v="3.8696920379517006"/>
    <m/>
    <m/>
    <m/>
    <m/>
    <m/>
    <m/>
    <m/>
    <m/>
    <m/>
    <m/>
    <m/>
    <m/>
    <n v="11.7773"/>
    <n v="-7.0303399999999989"/>
    <m/>
    <m/>
    <m/>
    <m/>
    <n v="-2.4078599999999986"/>
    <n v="0.11844000000000011"/>
    <n v="31"/>
    <n v="0.2765673265639137"/>
    <n v="0"/>
    <n v="0"/>
    <n v="0"/>
    <n v="0"/>
    <n v="0"/>
    <n v="0"/>
    <n v="0"/>
    <n v="0.11994327752602985"/>
    <n v="0"/>
    <n v="0"/>
    <n v="0.15609365784770812"/>
    <n v="0"/>
    <n v="0"/>
    <n v="0"/>
    <n v="2.1176573572203095E-2"/>
    <n v="0"/>
    <n v="-2.5406112634098199E-3"/>
    <m/>
    <n v="0"/>
    <n v="0"/>
    <n v="0"/>
    <n v="0"/>
    <n v="-7.9774597012879922E-4"/>
    <n v="-1.4158125938128173E-3"/>
    <n v="0"/>
    <n v="-1.58920125546749E-2"/>
    <m/>
    <m/>
    <m/>
    <n v="11.194054416997425"/>
    <n v="0"/>
    <n v="0"/>
    <n v="-2.4078599999999994"/>
    <n v="0.1184400000000001"/>
    <n v="0"/>
    <n v="0"/>
    <n v="-2.5659404943010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17"/>
    <s v="Regular"/>
    <s v="Convencional"/>
    <s v="B2"/>
    <s v="Rural"/>
    <s v="Não se aplica"/>
    <s v="Não se aplica"/>
    <s v="Não se aplica"/>
    <s v="Não se aplica"/>
    <s v="CATIVO"/>
    <x v="10"/>
    <n v="0"/>
    <n v="0"/>
    <n v="211.785"/>
    <n v="211.785"/>
    <n v="211.785"/>
    <n v="211.785"/>
    <m/>
    <n v="597.01"/>
    <n v="243.39"/>
    <m/>
    <n v="177984.114"/>
    <n v="177984.114"/>
    <n v="161227.68479999999"/>
    <n v="0"/>
    <n v="5269.9472749668739"/>
    <n v="0"/>
    <n v="0"/>
    <n v="0"/>
    <n v="24818.88626017022"/>
    <n v="86840.008966900612"/>
    <n v="51545.767640234422"/>
    <n v="0"/>
    <n v="0"/>
    <n v="0"/>
    <n v="0"/>
    <n v="0"/>
    <n v="2151.5430504600922"/>
    <m/>
    <n v="363.60761371799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92.9986638799282"/>
    <n v="0"/>
    <n v="105.37"/>
    <n v="486.49"/>
    <n v="0"/>
    <n v="1573"/>
    <m/>
    <m/>
    <m/>
    <m/>
    <m/>
    <n v="19348.677599999995"/>
    <m/>
    <m/>
    <m/>
    <n v="58538.766304114353"/>
    <m/>
    <m/>
    <m/>
    <m/>
    <m/>
    <m/>
    <m/>
    <m/>
    <m/>
    <m/>
    <m/>
    <m/>
    <n v="141882.35680000001"/>
    <n v="-14743.269949999987"/>
    <m/>
    <m/>
    <m/>
    <m/>
    <n v="-18548.130299999997"/>
    <n v="1791.7011000000016"/>
    <n v="31"/>
    <n v="3150.0526063534198"/>
    <n v="0"/>
    <n v="0"/>
    <n v="0"/>
    <n v="0"/>
    <n v="0"/>
    <n v="0"/>
    <n v="0"/>
    <n v="930.47538987752705"/>
    <n v="0"/>
    <n v="0"/>
    <n v="2361.3068090912057"/>
    <n v="0"/>
    <n v="0"/>
    <n v="0"/>
    <n v="320.34861671350154"/>
    <n v="0"/>
    <n v="-38.433096887231841"/>
    <m/>
    <n v="0"/>
    <n v="0"/>
    <n v="0"/>
    <n v="0"/>
    <n v="-12.067902163123563"/>
    <n v="-21.417705012903411"/>
    <n v="0"/>
    <n v="-390.15950526556276"/>
    <m/>
    <m/>
    <m/>
    <n v="86840.008966900612"/>
    <n v="0"/>
    <n v="0"/>
    <n v="-18548.130300000004"/>
    <n v="1791.7011000000057"/>
    <n v="0"/>
    <n v="0"/>
    <n v="-19905.772049427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18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1.1879999999999999"/>
    <n v="1.1879999999999999"/>
    <n v="1.1879999999999999"/>
    <n v="1.1879999999999999"/>
    <m/>
    <n v="597.01"/>
    <n v="243.39"/>
    <m/>
    <n v="998.39519999999993"/>
    <n v="998.39519999999993"/>
    <n v="904.40063999999984"/>
    <n v="0"/>
    <n v="29.561571228654749"/>
    <n v="0"/>
    <n v="0"/>
    <n v="0"/>
    <n v="139.22060994443527"/>
    <n v="487.12576741826814"/>
    <n v="289.14404682389448"/>
    <n v="0"/>
    <n v="0"/>
    <n v="0"/>
    <n v="0"/>
    <n v="0"/>
    <n v="12.068999900590642"/>
    <m/>
    <n v="2.0396432471467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226963253721244"/>
    <n v="0"/>
    <n v="0"/>
    <n v="0"/>
    <n v="0"/>
    <n v="8"/>
    <m/>
    <m/>
    <m/>
    <m/>
    <m/>
    <n v="108.53567999999997"/>
    <m/>
    <m/>
    <m/>
    <n v="328.37101007761572"/>
    <m/>
    <m/>
    <m/>
    <m/>
    <m/>
    <m/>
    <m/>
    <m/>
    <m/>
    <m/>
    <m/>
    <m/>
    <n v="797.20479999999998"/>
    <n v="-81.410599999999931"/>
    <m/>
    <m/>
    <m/>
    <m/>
    <n v="-104.04503999999997"/>
    <n v="10.050480000000009"/>
    <n v="31"/>
    <n v="17.670101736892832"/>
    <n v="0"/>
    <n v="0"/>
    <n v="0"/>
    <n v="0"/>
    <n v="0"/>
    <n v="0"/>
    <n v="0"/>
    <n v="5.2194667383171804"/>
    <n v="0"/>
    <n v="0"/>
    <n v="13.245661823076944"/>
    <n v="0"/>
    <n v="0"/>
    <n v="0"/>
    <n v="1.7969835288412312"/>
    <n v="0"/>
    <n v="-0.21558901292363331"/>
    <m/>
    <n v="0"/>
    <n v="0"/>
    <n v="0"/>
    <n v="0"/>
    <n v="-6.7694443750928812E-2"/>
    <n v="-0.12014181153211645"/>
    <n v="0"/>
    <n v="-2.1885850851358151"/>
    <m/>
    <m/>
    <m/>
    <n v="487.12576741826814"/>
    <n v="0"/>
    <n v="0"/>
    <n v="-104.04504000000009"/>
    <n v="10.050479999999993"/>
    <n v="0"/>
    <n v="0"/>
    <n v="-111.6606803820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19"/>
    <s v="Regular"/>
    <s v="Branca"/>
    <s v="B2"/>
    <s v="Rural"/>
    <s v="Não se aplica"/>
    <s v="Não se aplica"/>
    <s v="Não se aplica"/>
    <s v="Ponta"/>
    <s v="CATIVO"/>
    <x v="10"/>
    <n v="0"/>
    <n v="0"/>
    <n v="3.6999999999999998E-2"/>
    <n v="3.6999999999999998E-2"/>
    <n v="3.6999999999999998E-2"/>
    <n v="3.6999999999999998E-2"/>
    <m/>
    <n v="1298.56"/>
    <n v="214.18"/>
    <m/>
    <n v="55.971379999999996"/>
    <n v="55.971379999999996"/>
    <n v="48.573970000000003"/>
    <n v="0"/>
    <n v="0.81020602626683424"/>
    <n v="0"/>
    <n v="0"/>
    <n v="0"/>
    <n v="10.174563614464173"/>
    <n v="35.600135179076972"/>
    <n v="7.9246886907289582"/>
    <n v="0"/>
    <n v="0"/>
    <n v="0"/>
    <n v="0"/>
    <n v="0"/>
    <n v="0.33077999727544694"/>
    <m/>
    <n v="5.590133344031857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51093632501381"/>
    <n v="0"/>
    <n v="0"/>
    <n v="0"/>
    <n v="0"/>
    <n v="0"/>
    <m/>
    <m/>
    <m/>
    <m/>
    <m/>
    <m/>
    <m/>
    <m/>
    <m/>
    <n v="8.9997980539790969"/>
    <m/>
    <m/>
    <m/>
    <m/>
    <m/>
    <m/>
    <m/>
    <m/>
    <m/>
    <m/>
    <m/>
    <m/>
    <n v="52.512400000000007"/>
    <n v="-3.4889799999999838"/>
    <m/>
    <m/>
    <m/>
    <m/>
    <n v="-7.6730599999999951"/>
    <n v="0.27564999999999956"/>
    <n v="31"/>
    <n v="0.76307781858497137"/>
    <n v="0"/>
    <n v="0"/>
    <n v="0"/>
    <n v="0"/>
    <n v="0"/>
    <n v="0"/>
    <n v="0"/>
    <n v="0.38145068021020201"/>
    <n v="0"/>
    <n v="0"/>
    <n v="0.3630292499658001"/>
    <n v="0"/>
    <n v="0"/>
    <n v="0"/>
    <n v="4.9250659679353603E-2"/>
    <n v="0"/>
    <n v="-5.908735909758156E-3"/>
    <m/>
    <n v="0"/>
    <n v="0"/>
    <n v="0"/>
    <n v="0"/>
    <n v="-1.8553291990979215E-3"/>
    <n v="-3.2927755753248758E-3"/>
    <n v="0"/>
    <n v="-1.9595930586207663E-2"/>
    <m/>
    <m/>
    <m/>
    <n v="35.600135179076972"/>
    <n v="0"/>
    <n v="0"/>
    <n v="-7.6730599999999924"/>
    <n v="0.27564999999999973"/>
    <n v="0"/>
    <n v="0"/>
    <n v="-8.1603881003006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0"/>
    <s v="Regular"/>
    <s v="Branca"/>
    <s v="B2"/>
    <s v="Rural"/>
    <s v="Não se aplica"/>
    <s v="Não se aplica"/>
    <s v="Não se aplica"/>
    <s v="Fora ponta"/>
    <s v="CATIVO"/>
    <x v="10"/>
    <n v="0"/>
    <n v="0"/>
    <n v="2.86"/>
    <n v="2.86"/>
    <n v="2.86"/>
    <n v="2.86"/>
    <m/>
    <n v="308.83999999999997"/>
    <n v="214.18"/>
    <m/>
    <n v="1495.8371999999999"/>
    <n v="1495.8371999999999"/>
    <n v="1401.0853999999999"/>
    <n v="0"/>
    <n v="62.626736084409352"/>
    <n v="0"/>
    <n v="0"/>
    <n v="0"/>
    <n v="157.2977358207032"/>
    <n v="550.35912972868539"/>
    <n v="612.55701771580596"/>
    <n v="0"/>
    <n v="0"/>
    <n v="0"/>
    <n v="0"/>
    <n v="0"/>
    <n v="25.568399789399411"/>
    <m/>
    <n v="4.32102199025165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103048078253906"/>
    <n v="0"/>
    <n v="0"/>
    <n v="0"/>
    <n v="0"/>
    <n v="0"/>
    <m/>
    <m/>
    <m/>
    <m/>
    <m/>
    <m/>
    <m/>
    <m/>
    <m/>
    <n v="695.66006579405985"/>
    <m/>
    <m/>
    <m/>
    <m/>
    <m/>
    <m/>
    <m/>
    <m/>
    <m/>
    <m/>
    <m/>
    <m/>
    <n v="1401.0853999999999"/>
    <n v="-94.781799999999976"/>
    <m/>
    <m/>
    <m/>
    <m/>
    <n v="-116.05879999999995"/>
    <n v="21.306999999999967"/>
    <n v="31"/>
    <n v="31.399837911303734"/>
    <n v="0"/>
    <n v="0"/>
    <n v="0"/>
    <n v="0"/>
    <n v="0"/>
    <n v="0"/>
    <n v="0"/>
    <n v="5.8971893633878949"/>
    <n v="0"/>
    <n v="0"/>
    <n v="28.061179862221252"/>
    <n v="0"/>
    <n v="0"/>
    <n v="0"/>
    <n v="3.8069428833230177"/>
    <n v="0"/>
    <n v="-0.456729316267797"/>
    <m/>
    <n v="0"/>
    <n v="0"/>
    <n v="0"/>
    <n v="0"/>
    <n v="-0.14341193268702668"/>
    <n v="-0.2545226525791664"/>
    <n v="0"/>
    <n v="-5.5108102960943173"/>
    <m/>
    <m/>
    <m/>
    <n v="550.35912972868539"/>
    <n v="0"/>
    <n v="0"/>
    <n v="-116.05880000000002"/>
    <n v="21.306999999999903"/>
    <n v="0"/>
    <n v="0"/>
    <n v="-126.15525392075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1"/>
    <s v="Regular"/>
    <s v="Branca"/>
    <s v="B2"/>
    <s v="Rural"/>
    <s v="Não se aplica"/>
    <s v="Não se aplica"/>
    <s v="Não se aplica"/>
    <s v="Não se aplica"/>
    <s v="CATIVO"/>
    <x v="10"/>
    <n v="0"/>
    <n v="0"/>
    <n v="0.106"/>
    <n v="0.106"/>
    <n v="0.106"/>
    <n v="0.106"/>
    <m/>
    <n v="597.01"/>
    <n v="243.39"/>
    <m/>
    <n v="89.082399999999993"/>
    <n v="89.082399999999993"/>
    <n v="80.695679999999996"/>
    <n v="0"/>
    <n v="2.6376486113109454"/>
    <n v="0"/>
    <n v="0"/>
    <n v="0"/>
    <n v="12.422040954638163"/>
    <n v="43.464083624862312"/>
    <n v="25.799047948933346"/>
    <n v="0"/>
    <n v="0"/>
    <n v="0"/>
    <n v="0"/>
    <n v="0"/>
    <n v="1.076863627493778"/>
    <m/>
    <n v="0.18198837053666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00048909843815"/>
    <n v="0"/>
    <n v="2.44"/>
    <n v="11.25"/>
    <n v="0"/>
    <n v="8"/>
    <m/>
    <m/>
    <m/>
    <m/>
    <m/>
    <n v="9.6841599999999985"/>
    <m/>
    <m/>
    <m/>
    <n v="29.299096858777162"/>
    <m/>
    <m/>
    <m/>
    <m/>
    <m/>
    <m/>
    <m/>
    <m/>
    <m/>
    <m/>
    <m/>
    <m/>
    <n v="73.691200000000009"/>
    <n v="-4.7310999999999837"/>
    <m/>
    <m/>
    <m/>
    <m/>
    <n v="-9.2834799999999973"/>
    <n v="0.89676000000000078"/>
    <n v="31"/>
    <n v="1.576625239150367"/>
    <n v="0"/>
    <n v="0"/>
    <n v="0"/>
    <n v="0"/>
    <n v="0"/>
    <n v="0"/>
    <n v="0"/>
    <n v="0.46570999516971412"/>
    <n v="0"/>
    <n v="0"/>
    <n v="1.1818519808469325"/>
    <n v="0"/>
    <n v="0"/>
    <n v="0"/>
    <n v="0.16033691418953744"/>
    <n v="0"/>
    <n v="-1.923605670867401E-2"/>
    <m/>
    <n v="0"/>
    <n v="0"/>
    <n v="0"/>
    <n v="0"/>
    <n v="-6.0400766309751663E-3"/>
    <n v="-1.0719723924582786E-2"/>
    <n v="0"/>
    <n v="-0.19527779379157945"/>
    <m/>
    <m/>
    <m/>
    <n v="43.464083624862312"/>
    <n v="0"/>
    <n v="0"/>
    <n v="-9.2834799999999973"/>
    <n v="0.89676000000000045"/>
    <n v="0"/>
    <n v="0"/>
    <n v="-9.9629900004215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2"/>
    <s v="Regular"/>
    <s v="Branca"/>
    <s v="B2"/>
    <s v="Rural"/>
    <s v="Não se aplica"/>
    <s v="Não se aplica"/>
    <s v="Não se aplica"/>
    <s v="Intermediário"/>
    <s v="CATIVO"/>
    <x v="10"/>
    <n v="0"/>
    <n v="0"/>
    <n v="8.5000000000000006E-2"/>
    <n v="8.5000000000000006E-2"/>
    <n v="8.5000000000000006E-2"/>
    <n v="8.5000000000000006E-2"/>
    <m/>
    <n v="803.7"/>
    <n v="214.18"/>
    <m/>
    <n v="86.519800000000004"/>
    <n v="86.519800000000004"/>
    <n v="76.614750000000015"/>
    <n v="0"/>
    <n v="1.8612841143967818"/>
    <n v="0"/>
    <n v="0"/>
    <n v="0"/>
    <n v="14.02446077534182"/>
    <n v="49.070439766019483"/>
    <n v="18.205365911134095"/>
    <n v="0"/>
    <n v="0"/>
    <n v="0"/>
    <n v="0"/>
    <n v="0"/>
    <n v="0.75989999374089168"/>
    <m/>
    <n v="0.12842198222775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698458344935608"/>
    <n v="0"/>
    <n v="0"/>
    <n v="0"/>
    <n v="0"/>
    <n v="0"/>
    <m/>
    <m/>
    <m/>
    <m/>
    <m/>
    <m/>
    <m/>
    <m/>
    <m/>
    <n v="20.675211745627657"/>
    <m/>
    <m/>
    <m/>
    <m/>
    <m/>
    <m/>
    <m/>
    <m/>
    <m/>
    <m/>
    <m/>
    <m/>
    <n v="81.121499999999997"/>
    <n v="-5.4283000000000214"/>
    <m/>
    <m/>
    <m/>
    <m/>
    <n v="-10.538300000000003"/>
    <n v="0.63324999999999909"/>
    <n v="31"/>
    <n v="1.343114090123585"/>
    <n v="0"/>
    <n v="0"/>
    <n v="0"/>
    <n v="0"/>
    <n v="0"/>
    <n v="0"/>
    <n v="0"/>
    <n v="0.52578570492498145"/>
    <n v="0"/>
    <n v="0"/>
    <n v="0.83398611478629903"/>
    <n v="0"/>
    <n v="0"/>
    <n v="0"/>
    <n v="0.11314340737148809"/>
    <n v="0"/>
    <n v="-1.3574123035931196E-2"/>
    <m/>
    <n v="0"/>
    <n v="0"/>
    <n v="0"/>
    <n v="0"/>
    <n v="-4.2622427546843422E-3"/>
    <n v="-7.5644844298003999E-3"/>
    <n v="0"/>
    <n v="-0.10440028673876735"/>
    <m/>
    <m/>
    <m/>
    <n v="49.070439766019483"/>
    <n v="0"/>
    <n v="0"/>
    <n v="-10.5383"/>
    <n v="0.63325000000000031"/>
    <n v="0"/>
    <n v="0"/>
    <n v="-11.248098658302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3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0.091000000000001"/>
    <n v="20.091000000000001"/>
    <n v="20.091000000000001"/>
    <n v="20.091000000000001"/>
    <m/>
    <n v="597.01"/>
    <n v="243.39"/>
    <m/>
    <n v="16884.4764"/>
    <n v="16884.4764"/>
    <n v="15294.876480000001"/>
    <n v="0"/>
    <n v="499.933945753285"/>
    <n v="0"/>
    <n v="0"/>
    <n v="0"/>
    <n v="2354.4455171663712"/>
    <n v="8238.0840010104603"/>
    <n v="4889.8931353020744"/>
    <n v="0"/>
    <n v="0"/>
    <n v="0"/>
    <n v="0"/>
    <n v="0"/>
    <n v="204.10629377337258"/>
    <m/>
    <n v="34.493663702378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3.39134573275555"/>
    <n v="0"/>
    <n v="26.43"/>
    <n v="121.97"/>
    <n v="1762.01"/>
    <n v="30"/>
    <m/>
    <m/>
    <m/>
    <m/>
    <m/>
    <m/>
    <m/>
    <m/>
    <m/>
    <n v="5553.2844810348297"/>
    <m/>
    <m/>
    <m/>
    <m/>
    <m/>
    <m/>
    <m/>
    <m/>
    <m/>
    <m/>
    <m/>
    <m/>
    <n v="15294.1152"/>
    <n v="-1590.3911999999982"/>
    <m/>
    <m/>
    <m/>
    <m/>
    <n v="-1759.5697799999998"/>
    <n v="169.96986000000018"/>
    <n v="31"/>
    <n v="298.82997811103814"/>
    <n v="0"/>
    <n v="0"/>
    <n v="0"/>
    <n v="0"/>
    <n v="0"/>
    <n v="0"/>
    <n v="0"/>
    <n v="88.269618046742835"/>
    <n v="0"/>
    <n v="0"/>
    <n v="224.00554855845076"/>
    <n v="0"/>
    <n v="0"/>
    <n v="0"/>
    <n v="30.389895688509455"/>
    <n v="0"/>
    <n v="-3.6459586352261226"/>
    <m/>
    <n v="0"/>
    <n v="0"/>
    <n v="0"/>
    <n v="0"/>
    <n v="-1.144822448989828"/>
    <n v="-2.0317922015923813"/>
    <n v="0"/>
    <n v="-37.012510896854934"/>
    <m/>
    <m/>
    <m/>
    <n v="8238.0840010104603"/>
    <n v="0"/>
    <n v="0"/>
    <n v="-1759.5697799999998"/>
    <n v="169.96986000000015"/>
    <n v="0"/>
    <n v="0"/>
    <n v="-1888.3625669666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4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127.53400000000001"/>
    <n v="127.53400000000001"/>
    <n v="127.53400000000001"/>
    <n v="127.53400000000001"/>
    <m/>
    <n v="328.35"/>
    <n v="133.86000000000001"/>
    <m/>
    <n v="58947.490140000009"/>
    <n v="58947.490140000009"/>
    <n v="53398.485800000002"/>
    <n v="0"/>
    <n v="1745.4191782755836"/>
    <n v="0"/>
    <n v="0"/>
    <n v="0"/>
    <n v="8220.0746614137079"/>
    <n v="28761.619269408111"/>
    <n v="17072.081883166014"/>
    <n v="0"/>
    <n v="0"/>
    <n v="0"/>
    <n v="0"/>
    <n v="0"/>
    <n v="712.59621913052183"/>
    <m/>
    <n v="120.42771383408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16.0979312963414"/>
    <n v="0"/>
    <n v="0"/>
    <n v="0"/>
    <n v="0"/>
    <n v="5"/>
    <m/>
    <m/>
    <m/>
    <m/>
    <m/>
    <m/>
    <m/>
    <m/>
    <m/>
    <n v="19388.179814462357"/>
    <m/>
    <m/>
    <m/>
    <m/>
    <m/>
    <m/>
    <m/>
    <m/>
    <m/>
    <m/>
    <m/>
    <m/>
    <n v="53396.811000000002"/>
    <n v="-5550.7091400000136"/>
    <m/>
    <m/>
    <m/>
    <m/>
    <n v="-6143.312780000002"/>
    <n v="594.30843999999956"/>
    <n v="31"/>
    <n v="1043.3049791262929"/>
    <n v="0"/>
    <n v="0"/>
    <n v="0"/>
    <n v="0"/>
    <n v="0"/>
    <n v="0"/>
    <n v="0"/>
    <n v="308.17568102060068"/>
    <n v="0"/>
    <n v="0"/>
    <n v="782.07047914086434"/>
    <n v="0"/>
    <n v="0"/>
    <n v="0"/>
    <n v="106.10023026259978"/>
    <n v="0"/>
    <n v="-12.729133876947571"/>
    <m/>
    <n v="0"/>
    <n v="0"/>
    <n v="0"/>
    <n v="0"/>
    <n v="-3.9969181432061305"/>
    <n v="-7.0935952740450716"/>
    <n v="0"/>
    <n v="-129.22176400357063"/>
    <m/>
    <m/>
    <m/>
    <n v="28761.619269408111"/>
    <n v="0"/>
    <n v="0"/>
    <n v="-6143.3127800000075"/>
    <n v="594.3084400000007"/>
    <n v="0"/>
    <n v="0"/>
    <n v="-6592.839449929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5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61.503999999999998"/>
    <n v="57.813760000000002"/>
    <n v="61.503999999999998"/>
    <n v="57.813760000000002"/>
    <m/>
    <n v="597.01"/>
    <n v="243.39"/>
    <m/>
    <n v="51687.961599999995"/>
    <n v="51687.961599999995"/>
    <n v="46821.765119999996"/>
    <n v="0"/>
    <n v="1530.4333980195131"/>
    <n v="0"/>
    <n v="0"/>
    <n v="0"/>
    <n v="7207.5962912647701"/>
    <n v="25219.009427014447"/>
    <n v="14969.289104256572"/>
    <n v="0"/>
    <n v="0"/>
    <n v="0"/>
    <n v="0"/>
    <n v="0"/>
    <n v="624.8247221262011"/>
    <m/>
    <n v="105.59445982534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30.8208316135283"/>
    <n v="0"/>
    <n v="0"/>
    <n v="0"/>
    <n v="0"/>
    <n v="9"/>
    <m/>
    <m/>
    <m/>
    <m/>
    <n v="2809.3059071999969"/>
    <m/>
    <m/>
    <m/>
    <m/>
    <n v="17000.109935870099"/>
    <m/>
    <m/>
    <m/>
    <m/>
    <m/>
    <m/>
    <m/>
    <m/>
    <m/>
    <m/>
    <m/>
    <m/>
    <n v="44009.596799999999"/>
    <n v="-4577.1171040000118"/>
    <m/>
    <m/>
    <m/>
    <m/>
    <n v="-5386.5203199999987"/>
    <n v="520.32384000000047"/>
    <n v="31"/>
    <n v="914.79961045947493"/>
    <n v="0"/>
    <n v="0"/>
    <n v="0"/>
    <n v="0"/>
    <n v="0"/>
    <n v="0"/>
    <n v="0"/>
    <n v="270.21724097092556"/>
    <n v="0"/>
    <n v="0"/>
    <n v="685.74173801895813"/>
    <n v="0"/>
    <n v="0"/>
    <n v="0"/>
    <n v="93.031712927484023"/>
    <n v="0"/>
    <n v="-11.161268224625246"/>
    <m/>
    <n v="0"/>
    <n v="0"/>
    <n v="0"/>
    <n v="0"/>
    <n v="-3.5046120104858574"/>
    <n v="-6.2198669835616869"/>
    <n v="0"/>
    <n v="-113.30533423921983"/>
    <m/>
    <m/>
    <m/>
    <n v="25219.009427014447"/>
    <n v="0"/>
    <n v="0"/>
    <n v="-5386.520319999996"/>
    <n v="520.32383999999911"/>
    <n v="0"/>
    <n v="0"/>
    <n v="-5780.7899715653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6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3.9830000000000001"/>
    <n v="3.9830000000000001"/>
    <n v="3.9830000000000001"/>
    <n v="3.9830000000000001"/>
    <m/>
    <n v="597.01"/>
    <n v="243.39"/>
    <m/>
    <n v="3347.3131999999996"/>
    <n v="3347.3131999999996"/>
    <n v="3032.1782400000002"/>
    <n v="0"/>
    <n v="99.110890743882038"/>
    <n v="0"/>
    <n v="0"/>
    <n v="0"/>
    <n v="466.7640483238095"/>
    <n v="1633.1834441304395"/>
    <n v="969.4113960434106"/>
    <n v="0"/>
    <n v="0"/>
    <n v="0"/>
    <n v="0"/>
    <n v="0"/>
    <n v="40.463658757619974"/>
    <m/>
    <n v="6.83829886648612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51598875384826"/>
    <n v="0"/>
    <n v="0"/>
    <n v="0"/>
    <n v="1199.26"/>
    <n v="3"/>
    <m/>
    <m/>
    <m/>
    <m/>
    <m/>
    <m/>
    <m/>
    <m/>
    <m/>
    <n v="1100.9273847972588"/>
    <m/>
    <m/>
    <m/>
    <m/>
    <m/>
    <m/>
    <m/>
    <m/>
    <m/>
    <m/>
    <m/>
    <m/>
    <n v="3029.8944000000001"/>
    <n v="-317.44880000000012"/>
    <m/>
    <m/>
    <m/>
    <m/>
    <n v="-348.83113999999995"/>
    <n v="33.696180000000034"/>
    <n v="31"/>
    <n v="59.242437052225796"/>
    <n v="0"/>
    <n v="0"/>
    <n v="0"/>
    <n v="0"/>
    <n v="0"/>
    <n v="0"/>
    <n v="0"/>
    <n v="17.49927274302803"/>
    <n v="0"/>
    <n v="0"/>
    <n v="44.408645657672878"/>
    <n v="0"/>
    <n v="0"/>
    <n v="0"/>
    <n v="6.02473518129176"/>
    <n v="0"/>
    <n v="-0.72280390444007026"/>
    <m/>
    <n v="0"/>
    <n v="0"/>
    <n v="0"/>
    <n v="0"/>
    <n v="-0.22695872850164278"/>
    <n v="-0.40279868293974719"/>
    <n v="0"/>
    <n v="-7.3376552138854816"/>
    <m/>
    <m/>
    <m/>
    <n v="1633.1834441304395"/>
    <n v="0"/>
    <n v="0"/>
    <n v="-348.83113999999978"/>
    <n v="33.696180000000027"/>
    <n v="0"/>
    <n v="0"/>
    <n v="-374.36404878942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7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328"/>
    <s v="Regular"/>
    <s v="Convencional"/>
    <s v="B2"/>
    <s v="Rural"/>
    <s v="Agropecuária rural"/>
    <s v="IRRIG./AQUIC."/>
    <s v="Não se aplica"/>
    <s v="Não se aplica"/>
    <s v="CATIVO"/>
    <x v="10"/>
    <n v="0"/>
    <n v="0"/>
    <n v="6.0869999999999997"/>
    <n v="6.0869999999999997"/>
    <n v="6.0869999999999997"/>
    <n v="6.0869999999999997"/>
    <m/>
    <n v="597.01"/>
    <n v="243.39"/>
    <m/>
    <n v="5115.514799999999"/>
    <n v="5115.514799999999"/>
    <n v="4633.9113600000001"/>
    <n v="0"/>
    <n v="151.46572733065778"/>
    <n v="0"/>
    <n v="0"/>
    <n v="0"/>
    <n v="713.32984236681602"/>
    <n v="2495.9045002314797"/>
    <n v="1481.4981591052574"/>
    <n v="0"/>
    <n v="0"/>
    <n v="0"/>
    <n v="0"/>
    <n v="0"/>
    <n v="61.838385854288923"/>
    <m/>
    <n v="10.450596334496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.98865768131415"/>
    <n v="0"/>
    <n v="0"/>
    <n v="0"/>
    <n v="0"/>
    <n v="0"/>
    <m/>
    <m/>
    <m/>
    <m/>
    <m/>
    <n v="556.10831999999982"/>
    <m/>
    <m/>
    <m/>
    <n v="1682.4868167865716"/>
    <m/>
    <m/>
    <m/>
    <m/>
    <m/>
    <m/>
    <m/>
    <m/>
    <m/>
    <m/>
    <m/>
    <m/>
    <n v="4079.8127999999997"/>
    <n v="-421.85805000000073"/>
    <m/>
    <m/>
    <m/>
    <m/>
    <n v="-533.09945999999991"/>
    <n v="51.496020000000044"/>
    <n v="31"/>
    <n v="90.536960667059702"/>
    <n v="0"/>
    <n v="0"/>
    <n v="0"/>
    <n v="0"/>
    <n v="0"/>
    <n v="0"/>
    <n v="0"/>
    <n v="26.743176798094851"/>
    <n v="0"/>
    <n v="0"/>
    <n v="67.867292522785647"/>
    <n v="0"/>
    <n v="0"/>
    <n v="0"/>
    <n v="9.2072716667142913"/>
    <n v="0"/>
    <n v="-1.1046214828839425"/>
    <m/>
    <n v="0"/>
    <n v="0"/>
    <n v="0"/>
    <n v="0"/>
    <n v="-0.34684855144099913"/>
    <n v="-0.61557508989561605"/>
    <n v="0"/>
    <n v="-11.213735196314566"/>
    <m/>
    <m/>
    <m/>
    <n v="2495.9045002314797"/>
    <n v="0"/>
    <n v="0"/>
    <n v="-533.09945999999991"/>
    <n v="51.496020000000044"/>
    <n v="0"/>
    <n v="0"/>
    <n v="-572.12000125062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29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6.157"/>
    <n v="1.66239"/>
    <n v="6.157"/>
    <n v="1.66239"/>
    <m/>
    <n v="597.01"/>
    <n v="243.39"/>
    <m/>
    <n v="5174.3428000000004"/>
    <n v="5174.3428000000004"/>
    <n v="4687.2009600000001"/>
    <n v="0"/>
    <n v="153.20757075322163"/>
    <n v="0"/>
    <n v="0"/>
    <n v="0"/>
    <n v="721.53307695950161"/>
    <n v="2524.6071969648797"/>
    <n v="1498.5352662413454"/>
    <n v="0"/>
    <n v="0"/>
    <n v="0"/>
    <n v="0"/>
    <n v="0"/>
    <n v="62.549522212067835"/>
    <m/>
    <n v="10.5707773339078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3.30001073498462"/>
    <n v="0"/>
    <n v="0"/>
    <n v="0"/>
    <n v="0"/>
    <n v="0"/>
    <m/>
    <m/>
    <m/>
    <m/>
    <m/>
    <m/>
    <n v="3573.5326511999997"/>
    <m/>
    <m/>
    <n v="1701.8352769763301"/>
    <m/>
    <m/>
    <m/>
    <m/>
    <m/>
    <m/>
    <m/>
    <m/>
    <m/>
    <m/>
    <m/>
    <m/>
    <n v="1112.0672"/>
    <n v="-117.38332450000007"/>
    <m/>
    <m/>
    <m/>
    <m/>
    <n v="-539.23005999999987"/>
    <n v="52.088220000000049"/>
    <n v="31"/>
    <n v="91.57812827781936"/>
    <n v="0"/>
    <n v="0"/>
    <n v="0"/>
    <n v="0"/>
    <n v="0"/>
    <n v="0"/>
    <n v="0"/>
    <n v="27.050721134527635"/>
    <n v="0"/>
    <n v="0"/>
    <n v="68.647760812024217"/>
    <n v="0"/>
    <n v="0"/>
    <n v="0"/>
    <n v="9.3131545345752897"/>
    <n v="0"/>
    <n v="-1.1173245392010074"/>
    <m/>
    <n v="0"/>
    <n v="0"/>
    <n v="0"/>
    <n v="0"/>
    <n v="-0.35083728129163916"/>
    <n v="-0.62265415286468162"/>
    <n v="0"/>
    <n v="-11.342692229950515"/>
    <m/>
    <m/>
    <m/>
    <n v="2524.6071969648797"/>
    <n v="0"/>
    <n v="0"/>
    <n v="-539.23005999999987"/>
    <n v="52.088219999999865"/>
    <n v="0"/>
    <n v="0"/>
    <n v="-578.69933426976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0"/>
    <s v="Regular"/>
    <s v="Convencional"/>
    <s v="B1"/>
    <s v="Residencial"/>
    <s v="Residencial"/>
    <s v="Não se aplica"/>
    <s v="Não se aplica"/>
    <s v="Não se aplica"/>
    <s v="CATIVO"/>
    <x v="11"/>
    <n v="0"/>
    <n v="0"/>
    <n v="204.11"/>
    <n v="204.11"/>
    <n v="204.11"/>
    <n v="204.11"/>
    <m/>
    <n v="597.01"/>
    <n v="243.39"/>
    <m/>
    <n v="171534.04399999999"/>
    <n v="171534.04399999999"/>
    <n v="155384.86080000002"/>
    <n v="0"/>
    <n v="5078.9665854214827"/>
    <n v="0"/>
    <n v="0"/>
    <n v="0"/>
    <n v="23919.460181615053"/>
    <n v="83692.963289345716"/>
    <n v="49677.770536384771"/>
    <n v="0"/>
    <n v="0"/>
    <n v="0"/>
    <n v="0"/>
    <n v="0"/>
    <n v="2073.5720283750475"/>
    <m/>
    <n v="350.43062556828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39.5753112096336"/>
    <n v="0"/>
    <n v="53.7"/>
    <n v="248.03"/>
    <n v="2130.94"/>
    <n v="1822"/>
    <m/>
    <m/>
    <m/>
    <m/>
    <m/>
    <m/>
    <m/>
    <m/>
    <m/>
    <n v="56417.345847594406"/>
    <m/>
    <m/>
    <m/>
    <m/>
    <m/>
    <m/>
    <m/>
    <m/>
    <m/>
    <m/>
    <m/>
    <m/>
    <n v="155384.86080000002"/>
    <n v="-16149.213199999969"/>
    <m/>
    <m/>
    <m/>
    <m/>
    <n v="-17875.953799999999"/>
    <n v="1726.7706000000017"/>
    <n v="30"/>
    <n v="3035.8960147450998"/>
    <n v="0"/>
    <n v="0"/>
    <n v="0"/>
    <n v="0"/>
    <n v="0"/>
    <n v="0"/>
    <n v="0"/>
    <n v="896.75535013292756"/>
    <n v="0"/>
    <n v="0"/>
    <n v="2275.7340359496957"/>
    <n v="0"/>
    <n v="0"/>
    <n v="0"/>
    <n v="308.73931655874003"/>
    <n v="0"/>
    <n v="-37.040297498183463"/>
    <m/>
    <n v="0"/>
    <n v="0"/>
    <n v="0"/>
    <n v="0"/>
    <n v="-11.630566425928009"/>
    <n v="-20.641536323081084"/>
    <n v="0"/>
    <n v="-376.02028764904992"/>
    <m/>
    <m/>
    <m/>
    <n v="83692.963289345716"/>
    <n v="0"/>
    <n v="0"/>
    <n v="-17875.953799999988"/>
    <n v="1726.7706000000035"/>
    <n v="0"/>
    <n v="0"/>
    <n v="-19184.395179113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1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3.931"/>
    <n v="3.931"/>
    <n v="3.931"/>
    <n v="3.931"/>
    <m/>
    <n v="597.01"/>
    <n v="243.39"/>
    <m/>
    <n v="3303.6124"/>
    <n v="3303.6124"/>
    <n v="2992.59168"/>
    <n v="0"/>
    <n v="97.816949915691765"/>
    <n v="0"/>
    <n v="0"/>
    <n v="0"/>
    <n v="460.67021691210022"/>
    <n v="1611.8614408427711"/>
    <n v="956.75525931374523"/>
    <n v="0"/>
    <n v="0"/>
    <n v="0"/>
    <n v="0"/>
    <n v="0"/>
    <n v="39.935386034698503"/>
    <m/>
    <n v="6.7490215526379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.79898362826449"/>
    <n v="0"/>
    <n v="0"/>
    <n v="0"/>
    <n v="0"/>
    <n v="17"/>
    <m/>
    <m/>
    <m/>
    <m/>
    <m/>
    <m/>
    <m/>
    <m/>
    <m/>
    <n v="1086.5542429420098"/>
    <m/>
    <m/>
    <m/>
    <m/>
    <m/>
    <m/>
    <m/>
    <m/>
    <m/>
    <m/>
    <m/>
    <m/>
    <n v="2991.8304000000003"/>
    <n v="-311.81200000000035"/>
    <m/>
    <m/>
    <m/>
    <m/>
    <n v="-344.27697999999992"/>
    <n v="33.256260000000033"/>
    <n v="30"/>
    <n v="58.468998255661518"/>
    <n v="0"/>
    <n v="0"/>
    <n v="0"/>
    <n v="0"/>
    <n v="0"/>
    <n v="0"/>
    <n v="0"/>
    <n v="17.270811235963663"/>
    <n v="0"/>
    <n v="0"/>
    <n v="43.82886921423858"/>
    <n v="0"/>
    <n v="0"/>
    <n v="0"/>
    <n v="5.9460793365950337"/>
    <n v="0"/>
    <n v="-0.7133673483188403"/>
    <m/>
    <n v="0"/>
    <n v="0"/>
    <n v="0"/>
    <n v="0"/>
    <n v="-0.22399567204116977"/>
    <n v="-0.3975399504484427"/>
    <n v="0"/>
    <n v="-7.2418585603273469"/>
    <m/>
    <m/>
    <m/>
    <n v="1611.8614408427711"/>
    <n v="0"/>
    <n v="0"/>
    <n v="-344.27697999999987"/>
    <n v="33.256259999999997"/>
    <n v="0"/>
    <n v="0"/>
    <n v="-369.4765442609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2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77.040000000000006"/>
    <n v="77.040000000000006"/>
    <n v="77.040000000000006"/>
    <n v="77.040000000000006"/>
    <m/>
    <n v="561.96"/>
    <n v="243.39"/>
    <m/>
    <n v="62044.164000000004"/>
    <n v="62044.164000000004"/>
    <n v="55963.396800000002"/>
    <n v="0"/>
    <n v="0"/>
    <n v="0"/>
    <n v="0"/>
    <n v="0"/>
    <n v="9028.2456145785309"/>
    <n v="31589.367947730119"/>
    <n v="18750.553339488917"/>
    <n v="0"/>
    <n v="0"/>
    <n v="0"/>
    <n v="0"/>
    <n v="0"/>
    <n v="0"/>
    <m/>
    <n v="132.267774208910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3.8091322110145"/>
    <n v="0"/>
    <n v="0"/>
    <n v="0"/>
    <n v="0"/>
    <n v="170"/>
    <m/>
    <m/>
    <m/>
    <m/>
    <m/>
    <m/>
    <m/>
    <n v="36375.976800000004"/>
    <m/>
    <n v="21294.362471699933"/>
    <m/>
    <m/>
    <m/>
    <m/>
    <m/>
    <m/>
    <m/>
    <m/>
    <m/>
    <m/>
    <m/>
    <m/>
    <n v="19587.420000000002"/>
    <n v="-2128.645199999999"/>
    <m/>
    <m/>
    <m/>
    <m/>
    <n v="-6732.5256000000036"/>
    <n v="651.75840000000062"/>
    <n v="30"/>
    <n v="1160.438561766663"/>
    <n v="0"/>
    <n v="0"/>
    <n v="0"/>
    <n v="0"/>
    <n v="0"/>
    <n v="0"/>
    <n v="0"/>
    <n v="338.47450969693091"/>
    <n v="0"/>
    <n v="0"/>
    <n v="858.96110004196089"/>
    <n v="0"/>
    <n v="0"/>
    <n v="0"/>
    <n v="116.53165914303736"/>
    <n v="0"/>
    <n v="0"/>
    <m/>
    <n v="0"/>
    <n v="0"/>
    <n v="0"/>
    <n v="0"/>
    <n v="0"/>
    <n v="-7.7910144448099885"/>
    <n v="0"/>
    <n v="-145.73769267045282"/>
    <m/>
    <m/>
    <m/>
    <n v="31589.367947730119"/>
    <n v="0"/>
    <n v="0"/>
    <n v="-6732.5256000000008"/>
    <n v="651.75840000000244"/>
    <n v="0"/>
    <n v="0"/>
    <n v="-7241.025939929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3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23.492"/>
    <n v="123.492"/>
    <n v="123.492"/>
    <n v="123.492"/>
    <m/>
    <n v="561.96"/>
    <n v="243.39"/>
    <m/>
    <n v="99454.282200000001"/>
    <n v="99454.282200000001"/>
    <n v="89707.058640000003"/>
    <n v="0"/>
    <n v="0"/>
    <n v="0"/>
    <n v="0"/>
    <n v="0"/>
    <n v="14471.912090284681"/>
    <n v="50636.477500014116"/>
    <n v="30056.377634996952"/>
    <n v="0"/>
    <n v="0"/>
    <n v="0"/>
    <n v="0"/>
    <n v="0"/>
    <n v="0"/>
    <m/>
    <n v="212.01988541805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77.6230186267208"/>
    <n v="0"/>
    <n v="0"/>
    <n v="0"/>
    <n v="0"/>
    <n v="1474"/>
    <m/>
    <m/>
    <m/>
    <m/>
    <m/>
    <m/>
    <m/>
    <n v="35883.070439999996"/>
    <m/>
    <n v="34134.000653623676"/>
    <m/>
    <m/>
    <m/>
    <m/>
    <m/>
    <m/>
    <m/>
    <m/>
    <m/>
    <m/>
    <m/>
    <m/>
    <n v="53823.116500000004"/>
    <n v="-5849.4828199999974"/>
    <m/>
    <m/>
    <m/>
    <m/>
    <n v="-10791.965880000005"/>
    <n v="1044.742320000001"/>
    <n v="30"/>
    <n v="1860.1360185577505"/>
    <n v="0"/>
    <n v="0"/>
    <n v="0"/>
    <n v="0"/>
    <n v="0"/>
    <n v="0"/>
    <n v="0"/>
    <n v="542.56093135375886"/>
    <n v="0"/>
    <n v="0"/>
    <n v="1376.8798567806552"/>
    <n v="0"/>
    <n v="0"/>
    <n v="0"/>
    <n v="186.79553025560699"/>
    <n v="0"/>
    <n v="0"/>
    <m/>
    <n v="0"/>
    <n v="0"/>
    <n v="0"/>
    <n v="0"/>
    <n v="0"/>
    <n v="-12.488680631080911"/>
    <n v="0"/>
    <n v="-233.61161920118849"/>
    <m/>
    <m/>
    <m/>
    <n v="50636.477500014116"/>
    <n v="0"/>
    <n v="0"/>
    <n v="-10791.965880000003"/>
    <n v="1044.7423200000012"/>
    <n v="0"/>
    <n v="0"/>
    <n v="-11607.07133143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4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45.223999999999997"/>
    <n v="45.223999999999997"/>
    <n v="45.223999999999997"/>
    <n v="45.223999999999997"/>
    <m/>
    <n v="561.96"/>
    <n v="243.39"/>
    <m/>
    <n v="36421.148399999998"/>
    <n v="36421.148399999998"/>
    <n v="32851.61808"/>
    <n v="0"/>
    <n v="0"/>
    <n v="0"/>
    <n v="0"/>
    <n v="0"/>
    <n v="5299.7583031373233"/>
    <n v="18543.582243875215"/>
    <n v="11006.94475889209"/>
    <n v="0"/>
    <n v="0"/>
    <n v="0"/>
    <n v="0"/>
    <n v="0"/>
    <n v="0"/>
    <m/>
    <n v="77.643793105189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3.2661499884593"/>
    <n v="0"/>
    <n v="0"/>
    <n v="0"/>
    <n v="0"/>
    <n v="818"/>
    <m/>
    <m/>
    <m/>
    <m/>
    <m/>
    <m/>
    <m/>
    <n v="3285.071359999999"/>
    <m/>
    <n v="12500.21090888055"/>
    <m/>
    <m/>
    <m/>
    <m/>
    <m/>
    <m/>
    <m/>
    <m/>
    <m/>
    <m/>
    <m/>
    <m/>
    <n v="29563.931599999996"/>
    <n v="-3215.3580799999982"/>
    <m/>
    <m/>
    <m/>
    <m/>
    <n v="-3952.1253600000018"/>
    <n v="382.59504000000032"/>
    <n v="30"/>
    <n v="681.20033122190944"/>
    <n v="0"/>
    <n v="0"/>
    <n v="0"/>
    <n v="0"/>
    <n v="0"/>
    <n v="0"/>
    <n v="0"/>
    <n v="198.69121529769018"/>
    <n v="0"/>
    <n v="0"/>
    <n v="504.2271130360532"/>
    <n v="0"/>
    <n v="0"/>
    <n v="0"/>
    <n v="68.406383087807853"/>
    <n v="0"/>
    <n v="0"/>
    <m/>
    <n v="0"/>
    <n v="0"/>
    <n v="0"/>
    <n v="0"/>
    <n v="0"/>
    <n v="-4.5734791958993526"/>
    <n v="0"/>
    <n v="-85.550901003745565"/>
    <m/>
    <m/>
    <m/>
    <n v="18543.582243875215"/>
    <n v="0"/>
    <n v="0"/>
    <n v="-3952.1253600000018"/>
    <n v="382.59504000000197"/>
    <n v="0"/>
    <n v="0"/>
    <n v="-4250.6250922553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5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4.085000000000001"/>
    <n v="14.085000000000001"/>
    <n v="14.085000000000001"/>
    <n v="14.085000000000001"/>
    <m/>
    <n v="561.96"/>
    <n v="243.39"/>
    <m/>
    <n v="11343.354750000002"/>
    <n v="11343.354750000002"/>
    <n v="10231.625700000001"/>
    <n v="0"/>
    <n v="0"/>
    <n v="0"/>
    <n v="0"/>
    <n v="0"/>
    <n v="1650.6079891139486"/>
    <n v="5775.39262128477"/>
    <n v="3428.1093430257192"/>
    <n v="0"/>
    <n v="0"/>
    <n v="0"/>
    <n v="0"/>
    <n v="0"/>
    <n v="0"/>
    <m/>
    <n v="24.1821339529141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.07725372783148"/>
    <n v="0"/>
    <n v="67.849999999999994"/>
    <n v="312.88"/>
    <n v="1488.51"/>
    <n v="106"/>
    <m/>
    <m/>
    <m/>
    <m/>
    <m/>
    <m/>
    <m/>
    <m/>
    <m/>
    <n v="3893.1865967535505"/>
    <m/>
    <m/>
    <m/>
    <m/>
    <m/>
    <m/>
    <m/>
    <m/>
    <m/>
    <m/>
    <m/>
    <m/>
    <n v="10235.257799999999"/>
    <n v="-1108.1269500000035"/>
    <m/>
    <m/>
    <m/>
    <m/>
    <n v="-1230.8881500000007"/>
    <n v="119.15910000000012"/>
    <n v="30"/>
    <n v="212.1596202295359"/>
    <n v="0"/>
    <n v="0"/>
    <n v="0"/>
    <n v="0"/>
    <n v="0"/>
    <n v="0"/>
    <n v="0"/>
    <n v="61.882313980805748"/>
    <n v="0"/>
    <n v="0"/>
    <n v="157.04136934178314"/>
    <n v="0"/>
    <n v="0"/>
    <n v="0"/>
    <n v="21.305145626034289"/>
    <n v="0"/>
    <n v="0"/>
    <m/>
    <n v="0"/>
    <n v="0"/>
    <n v="0"/>
    <n v="0"/>
    <n v="0"/>
    <n v="-1.4244085988466821"/>
    <n v="0"/>
    <n v="-26.6448001202405"/>
    <m/>
    <m/>
    <m/>
    <n v="5775.39262128477"/>
    <n v="0"/>
    <n v="0"/>
    <n v="-1230.8881500000007"/>
    <n v="119.15910000000031"/>
    <n v="0"/>
    <n v="0"/>
    <n v="-1323.8557939239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6"/>
    <s v="Regular"/>
    <s v="Branca"/>
    <s v="B1"/>
    <s v="Residencial"/>
    <s v="Residencial"/>
    <s v="Não se aplica"/>
    <s v="Não se aplica"/>
    <s v="Fora ponta"/>
    <s v="CATIVO"/>
    <x v="11"/>
    <n v="0"/>
    <n v="0"/>
    <n v="0.13200000000000001"/>
    <n v="0.13200000000000001"/>
    <n v="0.13200000000000001"/>
    <n v="0.13200000000000001"/>
    <m/>
    <n v="386.11"/>
    <n v="243.39"/>
    <m/>
    <n v="83.093999999999994"/>
    <n v="83.093999999999994"/>
    <n v="77.341440000000006"/>
    <n v="0"/>
    <n v="3.2846190254060836"/>
    <n v="0"/>
    <n v="0"/>
    <n v="0"/>
    <n v="9.2812518791799974"/>
    <n v="32.475056111855416"/>
    <n v="32.127116313766059"/>
    <n v="0"/>
    <n v="0"/>
    <n v="0"/>
    <n v="0"/>
    <n v="0"/>
    <n v="1.3409999889545159"/>
    <m/>
    <n v="0.22662702746075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585514726356944"/>
    <n v="0"/>
    <n v="0"/>
    <n v="0"/>
    <n v="0"/>
    <n v="0"/>
    <m/>
    <m/>
    <m/>
    <m/>
    <m/>
    <m/>
    <m/>
    <m/>
    <m/>
    <n v="36.485667786401756"/>
    <m/>
    <m/>
    <m/>
    <m/>
    <m/>
    <m/>
    <m/>
    <m/>
    <m/>
    <m/>
    <m/>
    <m/>
    <n v="76.169600000000003"/>
    <n v="-6.9544000000000068"/>
    <m/>
    <m/>
    <m/>
    <m/>
    <n v="-6.8692800000000034"/>
    <n v="1.116720000000001"/>
    <n v="30"/>
    <n v="1.6920639062743206"/>
    <n v="0"/>
    <n v="0"/>
    <n v="0"/>
    <n v="0"/>
    <n v="0"/>
    <n v="0"/>
    <n v="0"/>
    <n v="0.34795987097495029"/>
    <n v="0"/>
    <n v="0"/>
    <n v="1.4717402025640993"/>
    <n v="0"/>
    <n v="0"/>
    <n v="0"/>
    <n v="0.19966483653791478"/>
    <n v="0"/>
    <n v="-2.395433476929254E-2"/>
    <m/>
    <n v="0"/>
    <n v="0"/>
    <n v="0"/>
    <n v="0"/>
    <n v="-7.5216048612143371E-3"/>
    <n v="-1.3349090170235167E-2"/>
    <n v="0"/>
    <n v="-0.28247597400191349"/>
    <m/>
    <m/>
    <m/>
    <n v="32.475056111855416"/>
    <n v="0"/>
    <n v="0"/>
    <n v="-6.8692800000000034"/>
    <n v="1.1167200000000008"/>
    <n v="0"/>
    <n v="0"/>
    <n v="-7.4440464936080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7"/>
    <s v="Regular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338"/>
    <s v="Regular"/>
    <s v="Convencional"/>
    <s v="B3"/>
    <s v="Industrial"/>
    <s v="Não se aplica"/>
    <s v="Não se aplica"/>
    <s v="Não se aplica"/>
    <s v="Não se aplica"/>
    <s v="CATIVO"/>
    <x v="11"/>
    <n v="0"/>
    <n v="0"/>
    <n v="1.321"/>
    <n v="1.321"/>
    <n v="1.321"/>
    <n v="1.321"/>
    <m/>
    <n v="597.01"/>
    <n v="243.39"/>
    <m/>
    <n v="1110.1684"/>
    <n v="1110.1684"/>
    <n v="1005.65088"/>
    <n v="0"/>
    <n v="32.871073731526032"/>
    <n v="0"/>
    <n v="0"/>
    <n v="0"/>
    <n v="154.80675567053788"/>
    <n v="541.6608912117274"/>
    <n v="321.51455038246178"/>
    <n v="0"/>
    <n v="0"/>
    <n v="0"/>
    <n v="0"/>
    <n v="0"/>
    <n v="13.420158980370571"/>
    <m/>
    <n v="2.2679871460276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618534055695086"/>
    <n v="0"/>
    <n v="0"/>
    <n v="0"/>
    <n v="0"/>
    <n v="4"/>
    <m/>
    <m/>
    <m/>
    <m/>
    <m/>
    <m/>
    <m/>
    <m/>
    <m/>
    <n v="365.13308443815686"/>
    <m/>
    <m/>
    <m/>
    <m/>
    <m/>
    <m/>
    <m/>
    <m/>
    <m/>
    <m/>
    <m/>
    <m/>
    <n v="1004.8896000000001"/>
    <n v="-105.30879999999991"/>
    <m/>
    <m/>
    <m/>
    <m/>
    <n v="-115.69317999999997"/>
    <n v="11.175660000000009"/>
    <n v="30"/>
    <n v="19.648320197336261"/>
    <n v="0"/>
    <n v="0"/>
    <n v="0"/>
    <n v="0"/>
    <n v="0"/>
    <n v="0"/>
    <n v="0"/>
    <n v="5.8038009775395381"/>
    <n v="0"/>
    <n v="0"/>
    <n v="14.728551572630181"/>
    <n v="0"/>
    <n v="0"/>
    <n v="0"/>
    <n v="1.998160977777161"/>
    <n v="0"/>
    <n v="-0.23972481992602468"/>
    <m/>
    <n v="0"/>
    <n v="0"/>
    <n v="0"/>
    <n v="0"/>
    <n v="-7.527303046715339E-2"/>
    <n v="-0.13359203117333829"/>
    <n v="0"/>
    <n v="-2.4336034490441176"/>
    <m/>
    <m/>
    <m/>
    <n v="541.6608912117274"/>
    <n v="0"/>
    <n v="0"/>
    <n v="-115.69317999999998"/>
    <n v="11.17566000000005"/>
    <n v="0"/>
    <n v="0"/>
    <n v="-124.16141311846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39"/>
    <s v="Regular"/>
    <s v="Verde"/>
    <s v="A4"/>
    <s v="Industrial"/>
    <s v="Não se aplica"/>
    <s v="Não se aplica"/>
    <s v="Não se aplica"/>
    <s v="Ponta"/>
    <s v="CATIVO"/>
    <x v="11"/>
    <n v="0"/>
    <n v="0"/>
    <n v="0.158"/>
    <n v="0.158"/>
    <n v="0.158"/>
    <n v="0.158"/>
    <m/>
    <n v="2773.91"/>
    <n v="243.39"/>
    <m/>
    <n v="476.73340000000002"/>
    <n v="476.73340000000002"/>
    <n v="410.38445999999999"/>
    <n v="0"/>
    <n v="3.4204828123660604"/>
    <n v="0"/>
    <n v="0"/>
    <n v="0"/>
    <n v="113.84018804406972"/>
    <n v="316.9078126679687"/>
    <n v="38.455184678598762"/>
    <n v="0"/>
    <n v="0"/>
    <n v="0"/>
    <n v="0"/>
    <n v="0"/>
    <n v="1.6051363504152538"/>
    <m/>
    <n v="0.10960120636465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951423711194564"/>
    <n v="0"/>
    <n v="0"/>
    <n v="0"/>
    <n v="0"/>
    <n v="0"/>
    <m/>
    <m/>
    <m/>
    <m/>
    <m/>
    <m/>
    <m/>
    <m/>
    <m/>
    <n v="40.850327049718217"/>
    <m/>
    <m/>
    <m/>
    <m/>
    <m/>
    <m/>
    <m/>
    <m/>
    <m/>
    <m/>
    <m/>
    <m/>
    <n v="415.57920000000001"/>
    <n v="-61.184199999999976"/>
    <m/>
    <m/>
    <m/>
    <m/>
    <n v="-67.685619999999986"/>
    <n v="1.3366800000000012"/>
    <n v="30"/>
    <n v="6.2933825688597551"/>
    <n v="0"/>
    <n v="0"/>
    <n v="0"/>
    <n v="0"/>
    <n v="0"/>
    <n v="0"/>
    <n v="0"/>
    <n v="4.2679390301255893"/>
    <n v="0"/>
    <n v="0"/>
    <n v="1.7616284242812768"/>
    <n v="0"/>
    <n v="0"/>
    <n v="0"/>
    <n v="0.10972124868023547"/>
    <n v="0"/>
    <n v="-2.4945173162020939E-2"/>
    <m/>
    <n v="0"/>
    <n v="0"/>
    <n v="0"/>
    <n v="0"/>
    <n v="-9.0031330914535079E-3"/>
    <n v="-6.4558777605718265E-3"/>
    <n v="0"/>
    <n v="0.19449804978670532"/>
    <m/>
    <m/>
    <m/>
    <n v="316.9078126679687"/>
    <n v="0"/>
    <n v="0"/>
    <n v="-67.685620000000029"/>
    <n v="1.3366800000000012"/>
    <n v="0"/>
    <n v="0"/>
    <n v="-72.642722573364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40"/>
    <s v="Regular"/>
    <s v="Verde"/>
    <s v="A4"/>
    <s v="Industrial"/>
    <s v="Não se aplica"/>
    <s v="Não se aplica"/>
    <s v="Não se aplica"/>
    <s v="Fora ponta"/>
    <s v="CATIVO"/>
    <x v="11"/>
    <n v="0"/>
    <n v="0"/>
    <n v="25.942"/>
    <n v="25.942"/>
    <n v="25.942"/>
    <n v="25.942"/>
    <m/>
    <n v="47.66"/>
    <n v="243.39"/>
    <m/>
    <n v="7550.4190999999992"/>
    <n v="7550.4190999999992"/>
    <n v="7783.1188400000001"/>
    <n v="0"/>
    <n v="561.60863998987554"/>
    <n v="0"/>
    <n v="0"/>
    <n v="0"/>
    <n v="0"/>
    <n v="0"/>
    <n v="6313.9519046342348"/>
    <n v="0"/>
    <n v="0"/>
    <n v="0"/>
    <n v="0"/>
    <n v="0"/>
    <n v="263.54713419286401"/>
    <m/>
    <n v="17.9954081994423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3.25812273152496"/>
    <n v="0"/>
    <n v="0"/>
    <n v="0"/>
    <n v="0"/>
    <n v="0"/>
    <m/>
    <m/>
    <m/>
    <m/>
    <m/>
    <m/>
    <m/>
    <m/>
    <m/>
    <n v="6707.2100273657597"/>
    <m/>
    <m/>
    <m/>
    <m/>
    <m/>
    <m/>
    <m/>
    <m/>
    <m/>
    <m/>
    <m/>
    <m/>
    <n v="7782.5188000000007"/>
    <n v="232.06970000000092"/>
    <m/>
    <m/>
    <m/>
    <m/>
    <n v="13.230420000000132"/>
    <n v="219.46932000000021"/>
    <n v="30"/>
    <n v="232.71223361960801"/>
    <n v="0"/>
    <n v="0"/>
    <n v="0"/>
    <n v="0"/>
    <n v="0"/>
    <n v="0"/>
    <n v="0"/>
    <n v="0"/>
    <n v="0"/>
    <n v="0"/>
    <n v="289.24154799180269"/>
    <n v="0"/>
    <n v="0"/>
    <n v="0"/>
    <n v="18.015117932042131"/>
    <n v="0"/>
    <n v="-4.0957448238552843"/>
    <m/>
    <n v="0"/>
    <n v="0"/>
    <n v="0"/>
    <n v="0"/>
    <n v="-1.4782232826486279"/>
    <n v="-1.0599897523085708"/>
    <n v="0"/>
    <n v="-67.910474445423546"/>
    <m/>
    <m/>
    <m/>
    <n v="0"/>
    <n v="0"/>
    <n v="0"/>
    <n v="13.230420000000095"/>
    <n v="219.46932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41"/>
    <s v="Regular"/>
    <s v="Verde"/>
    <s v="A4"/>
    <s v="Industrial"/>
    <s v="Não se aplica"/>
    <s v="Não se aplica"/>
    <s v="Não se aplica"/>
    <s v="Não se aplica"/>
    <s v="CATIVO"/>
    <x v="11"/>
    <n v="120"/>
    <n v="120"/>
    <n v="0"/>
    <n v="0"/>
    <n v="0"/>
    <n v="0"/>
    <n v="50.27"/>
    <m/>
    <m/>
    <n v="6032.4000000000005"/>
    <m/>
    <n v="6032.4000000000005"/>
    <n v="5424"/>
    <n v="0"/>
    <n v="0"/>
    <n v="0"/>
    <n v="0"/>
    <n v="0"/>
    <n v="2875.1919811512239"/>
    <n v="3156.66152450675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5424"/>
    <n v="-608.4300000000012"/>
    <m/>
    <m/>
    <m/>
    <m/>
    <n v="-608.40000000000009"/>
    <n v="0"/>
    <n v="30"/>
    <n v="116.30817949722041"/>
    <n v="0"/>
    <n v="0"/>
    <n v="0"/>
    <n v="0"/>
    <m/>
    <m/>
    <m/>
    <n v="107.79272492689233"/>
    <n v="0"/>
    <n v="0"/>
    <m/>
    <m/>
    <n v="0"/>
    <n v="0"/>
    <n v="0"/>
    <n v="0"/>
    <n v="0"/>
    <m/>
    <n v="0"/>
    <n v="0"/>
    <m/>
    <n v="0"/>
    <n v="0"/>
    <n v="0"/>
    <n v="0"/>
    <n v="8.5154545703282878"/>
    <m/>
    <m/>
    <n v="3156.6615245067596"/>
    <m/>
    <n v="0"/>
    <n v="0"/>
    <n v="-608.40000000000055"/>
    <m/>
    <n v="0"/>
    <m/>
    <n v="-723.58104854615976"/>
    <m/>
    <n v="0"/>
    <n v="0"/>
    <m/>
    <n v="0"/>
    <n v="0"/>
    <n v="0"/>
    <n v="0"/>
    <n v="0"/>
    <m/>
    <m/>
    <n v="0"/>
    <n v="0"/>
    <m/>
    <n v="0"/>
    <m/>
    <n v="0"/>
    <m/>
    <n v="254"/>
    <m/>
    <m/>
    <m/>
    <m/>
    <n v="0"/>
    <m/>
    <m/>
    <m/>
    <m/>
    <n v="0"/>
    <n v="0"/>
    <n v="0"/>
    <n v="0"/>
  </r>
  <r>
    <n v="342"/>
    <s v="Regular"/>
    <s v="Convencional"/>
    <s v="B3"/>
    <s v="Comercial"/>
    <s v="Não se aplica"/>
    <s v="Não se aplica"/>
    <s v="Não se aplica"/>
    <s v="Não se aplica"/>
    <s v="CATIVO"/>
    <x v="11"/>
    <n v="0"/>
    <n v="0"/>
    <n v="60.774000000000001"/>
    <n v="60.774000000000001"/>
    <n v="60.774000000000001"/>
    <n v="60.774000000000001"/>
    <m/>
    <n v="597.01"/>
    <n v="243.39"/>
    <m/>
    <n v="51074.469599999997"/>
    <n v="51074.469599999997"/>
    <n v="46266.030719999995"/>
    <n v="0"/>
    <n v="1512.268459469919"/>
    <n v="0"/>
    <n v="0"/>
    <n v="0"/>
    <n v="7122.0482733696208"/>
    <n v="24919.681303937567"/>
    <n v="14791.616415551653"/>
    <n v="0"/>
    <n v="0"/>
    <n v="0"/>
    <n v="0"/>
    <n v="0"/>
    <n v="617.40858582364967"/>
    <m/>
    <n v="104.34114368863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6.7167211966794"/>
    <n v="0"/>
    <n v="75.44"/>
    <n v="348.37"/>
    <n v="4276.75"/>
    <n v="207"/>
    <m/>
    <m/>
    <m/>
    <m/>
    <m/>
    <m/>
    <m/>
    <m/>
    <m/>
    <n v="16798.333136748333"/>
    <m/>
    <m/>
    <m/>
    <m/>
    <m/>
    <m/>
    <m/>
    <m/>
    <m/>
    <m/>
    <m/>
    <m/>
    <n v="46262.9856"/>
    <n v="-4811.5140000000029"/>
    <m/>
    <m/>
    <m/>
    <m/>
    <n v="-5322.5869199999988"/>
    <n v="514.14804000000049"/>
    <n v="30"/>
    <n v="903.94171966155409"/>
    <n v="0"/>
    <n v="0"/>
    <n v="0"/>
    <n v="0"/>
    <n v="0"/>
    <n v="0"/>
    <n v="0"/>
    <n v="267.00999289098309"/>
    <n v="0"/>
    <n v="0"/>
    <n v="677.60256871690217"/>
    <n v="0"/>
    <n v="0"/>
    <n v="0"/>
    <n v="91.927505876933537"/>
    <n v="0"/>
    <n v="-11.028793494461979"/>
    <m/>
    <n v="0"/>
    <n v="0"/>
    <n v="0"/>
    <n v="0"/>
    <n v="-3.4630152563291858"/>
    <n v="-6.1460424697414595"/>
    <n v="0"/>
    <n v="-111.96049660273064"/>
    <m/>
    <m/>
    <m/>
    <n v="24919.681303937567"/>
    <n v="0"/>
    <n v="0"/>
    <n v="-5322.5869200000016"/>
    <n v="514.14804000000004"/>
    <n v="0"/>
    <n v="0"/>
    <n v="-5712.1769272228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43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4.4989999999999997"/>
    <n v="4.4989999999999997"/>
    <n v="4.4989999999999997"/>
    <n v="4.4989999999999997"/>
    <m/>
    <n v="597.01"/>
    <n v="243.39"/>
    <m/>
    <n v="3780.9595999999992"/>
    <n v="3780.9595999999992"/>
    <n v="3424.9987199999996"/>
    <n v="0"/>
    <n v="111.950765115924"/>
    <n v="0"/>
    <n v="0"/>
    <n v="0"/>
    <n v="527.23360617846322"/>
    <n v="1844.7633229080709"/>
    <n v="1094.9992143608597"/>
    <n v="0"/>
    <n v="0"/>
    <n v="0"/>
    <n v="0"/>
    <n v="0"/>
    <n v="45.70574962353308"/>
    <m/>
    <n v="7.72420451928724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55396269233324"/>
    <n v="0"/>
    <n v="0"/>
    <n v="0"/>
    <n v="0"/>
    <n v="7"/>
    <m/>
    <m/>
    <m/>
    <m/>
    <m/>
    <m/>
    <m/>
    <m/>
    <m/>
    <n v="1243.5531770531929"/>
    <m/>
    <m/>
    <m/>
    <m/>
    <m/>
    <m/>
    <m/>
    <m/>
    <m/>
    <m/>
    <m/>
    <m/>
    <n v="3425.76"/>
    <n v="-355.22959999999966"/>
    <m/>
    <m/>
    <m/>
    <m/>
    <n v="-394.0224199999999"/>
    <n v="38.061540000000036"/>
    <n v="30"/>
    <n v="66.917329725825539"/>
    <n v="0"/>
    <n v="0"/>
    <n v="0"/>
    <n v="0"/>
    <n v="0"/>
    <n v="0"/>
    <n v="0"/>
    <n v="19.766313851589985"/>
    <n v="0"/>
    <n v="0"/>
    <n v="50.161811904059732"/>
    <n v="0"/>
    <n v="0"/>
    <n v="0"/>
    <n v="6.80524317866724"/>
    <n v="0"/>
    <n v="-0.8164435767200473"/>
    <m/>
    <n v="0"/>
    <n v="0"/>
    <n v="0"/>
    <n v="0"/>
    <n v="-0.2563613656863879"/>
    <n v="-0.4549814899688478"/>
    <n v="0"/>
    <n v="-8.2882527761161864"/>
    <m/>
    <m/>
    <m/>
    <n v="1844.7633229080709"/>
    <n v="0"/>
    <n v="0"/>
    <n v="-394.02241999999978"/>
    <n v="38.06154000000015"/>
    <n v="0"/>
    <n v="0"/>
    <n v="-422.863132187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44"/>
    <s v="Regular"/>
    <s v="Branca"/>
    <s v="B3"/>
    <s v="Comercial"/>
    <s v="Não se aplica"/>
    <s v="Não se aplica"/>
    <s v="Não se aplica"/>
    <s v="Ponta"/>
    <s v="CATIVO"/>
    <x v="11"/>
    <n v="0"/>
    <n v="0"/>
    <n v="8.0000000000000002E-3"/>
    <n v="8.0000000000000002E-3"/>
    <n v="8.0000000000000002E-3"/>
    <n v="8.0000000000000002E-3"/>
    <m/>
    <n v="1783.27"/>
    <n v="243.39"/>
    <m/>
    <n v="16.213279999999997"/>
    <n v="16.213279999999997"/>
    <n v="13.98096"/>
    <n v="0"/>
    <n v="0.1990678197215808"/>
    <n v="0"/>
    <n v="0"/>
    <n v="0"/>
    <n v="3.04691732483156"/>
    <n v="10.6610059568896"/>
    <n v="1.9470979584100641"/>
    <n v="0"/>
    <n v="0"/>
    <n v="0"/>
    <n v="0"/>
    <n v="0"/>
    <n v="8.1272726603303994E-2"/>
    <m/>
    <n v="1.37349713612576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6415463470519357"/>
    <n v="0"/>
    <n v="0"/>
    <n v="0"/>
    <n v="0"/>
    <n v="0"/>
    <m/>
    <m/>
    <m/>
    <m/>
    <m/>
    <m/>
    <m/>
    <m/>
    <m/>
    <n v="2.2112525931152578"/>
    <m/>
    <m/>
    <m/>
    <m/>
    <m/>
    <m/>
    <m/>
    <m/>
    <m/>
    <m/>
    <m/>
    <m/>
    <n v="17.476200000000002"/>
    <n v="1.23292"/>
    <m/>
    <m/>
    <m/>
    <m/>
    <n v="-2.3000000000000003"/>
    <n v="6.768000000000006E-2"/>
    <n v="30"/>
    <n v="0.21147110344273923"/>
    <n v="0"/>
    <n v="0"/>
    <n v="0"/>
    <n v="0"/>
    <n v="0"/>
    <n v="0"/>
    <n v="0"/>
    <n v="0.11423081422862413"/>
    <n v="0"/>
    <n v="0"/>
    <n v="8.9196375912976134E-2"/>
    <n v="0"/>
    <n v="0"/>
    <n v="0"/>
    <n v="1.2100899184116054E-2"/>
    <n v="0"/>
    <n v="-1.4517778648055757E-3"/>
    <m/>
    <n v="0"/>
    <n v="0"/>
    <n v="0"/>
    <n v="0"/>
    <n v="-4.5585484007359955E-4"/>
    <n v="-8.0903576789304044E-4"/>
    <n v="0"/>
    <n v="-1.3403174102044786E-3"/>
    <m/>
    <m/>
    <m/>
    <n v="10.6610059568896"/>
    <n v="0"/>
    <n v="0"/>
    <n v="-2.2999999999999989"/>
    <n v="6.7680000000000184E-2"/>
    <n v="0"/>
    <n v="0"/>
    <n v="-2.4437532529080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45"/>
    <s v="Regular"/>
    <s v="Branca"/>
    <s v="B3"/>
    <s v="Comercial"/>
    <s v="Não se aplica"/>
    <s v="Não se aplica"/>
    <s v="Não se aplica"/>
    <s v="Fora ponta"/>
    <s v="CATIVO"/>
    <x v="11"/>
    <n v="0"/>
    <n v="0"/>
    <n v="0.378"/>
    <n v="0.378"/>
    <n v="0.378"/>
    <n v="0.378"/>
    <m/>
    <n v="412.48"/>
    <n v="243.39"/>
    <m/>
    <n v="247.91886"/>
    <n v="247.91886"/>
    <n v="229.76730000000001"/>
    <n v="0"/>
    <n v="9.4059544818446934"/>
    <n v="0"/>
    <n v="0"/>
    <n v="0"/>
    <n v="28.793823328375286"/>
    <n v="100.74654882308393"/>
    <n v="92.000378534875523"/>
    <n v="0"/>
    <n v="0"/>
    <n v="0"/>
    <n v="0"/>
    <n v="0"/>
    <n v="3.8401363320061139"/>
    <m/>
    <n v="0.64897739681942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481306489820398"/>
    <n v="0"/>
    <n v="0"/>
    <n v="0"/>
    <n v="0"/>
    <n v="0"/>
    <m/>
    <m/>
    <m/>
    <m/>
    <m/>
    <m/>
    <m/>
    <m/>
    <m/>
    <n v="104.48168502469592"/>
    <m/>
    <m/>
    <m/>
    <m/>
    <m/>
    <m/>
    <m/>
    <m/>
    <m/>
    <m/>
    <m/>
    <m/>
    <n v="230.983"/>
    <n v="-16.965859999999964"/>
    <m/>
    <m/>
    <m/>
    <m/>
    <n v="-21.349440000000008"/>
    <n v="3.1978800000000032"/>
    <n v="30"/>
    <n v="4.9425921866253475"/>
    <n v="0"/>
    <n v="0"/>
    <n v="0"/>
    <n v="0"/>
    <n v="0"/>
    <n v="0"/>
    <n v="0"/>
    <n v="1.0794982380223921"/>
    <n v="0"/>
    <n v="0"/>
    <n v="4.2145287618881184"/>
    <n v="0"/>
    <n v="0"/>
    <n v="0"/>
    <n v="0.57176748644948105"/>
    <n v="0"/>
    <n v="-6.8596504112065304E-2"/>
    <m/>
    <n v="0"/>
    <n v="0"/>
    <n v="0"/>
    <n v="0"/>
    <n v="-2.1539141193477551E-2"/>
    <n v="-3.8226940032946133E-2"/>
    <n v="0"/>
    <n v="-0.79483971439612122"/>
    <m/>
    <m/>
    <m/>
    <n v="100.74654882308393"/>
    <n v="0"/>
    <n v="0"/>
    <n v="-21.349439999999987"/>
    <n v="3.1978799999999978"/>
    <n v="0"/>
    <n v="0"/>
    <n v="-23.09347798896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46"/>
    <s v="Regular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347"/>
    <s v="Regular"/>
    <s v="Branca"/>
    <s v="B3"/>
    <s v="Comercial"/>
    <s v="Não se aplica"/>
    <s v="Não se aplica"/>
    <s v="Não se aplica"/>
    <s v="Intermediário"/>
    <s v="CATIVO"/>
    <x v="11"/>
    <n v="0"/>
    <n v="0"/>
    <n v="1.0999999999999999E-2"/>
    <n v="1.0999999999999999E-2"/>
    <n v="1.0999999999999999E-2"/>
    <n v="1.0999999999999999E-2"/>
    <m/>
    <n v="1097.8699999999999"/>
    <n v="243.39"/>
    <m/>
    <n v="14.753859999999998"/>
    <n v="14.753859999999998"/>
    <n v="12.955030000000001"/>
    <n v="0"/>
    <n v="0.2737182521171736"/>
    <n v="0"/>
    <n v="0"/>
    <n v="0"/>
    <n v="2.5137261281960188"/>
    <n v="8.7953284704979762"/>
    <n v="2.6772596928138377"/>
    <n v="0"/>
    <n v="0"/>
    <n v="0"/>
    <n v="0"/>
    <n v="0"/>
    <n v="0.11174999907954299"/>
    <m/>
    <n v="1.888558562172919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6321262271964116"/>
    <n v="0"/>
    <n v="0"/>
    <n v="0"/>
    <n v="0"/>
    <n v="0"/>
    <m/>
    <m/>
    <m/>
    <m/>
    <m/>
    <m/>
    <m/>
    <m/>
    <m/>
    <n v="3.0404723155334787"/>
    <m/>
    <m/>
    <m/>
    <m/>
    <m/>
    <m/>
    <m/>
    <m/>
    <m/>
    <m/>
    <m/>
    <m/>
    <n v="11.7773"/>
    <n v="-3.0065599999999968"/>
    <m/>
    <m/>
    <m/>
    <m/>
    <n v="-1.8918899999999987"/>
    <n v="9.3060000000000087E-2"/>
    <n v="30"/>
    <n v="0.21730289944307657"/>
    <n v="0"/>
    <n v="0"/>
    <n v="0"/>
    <n v="0"/>
    <n v="0"/>
    <n v="0"/>
    <n v="0"/>
    <n v="9.4241146627595196E-2"/>
    <n v="0"/>
    <n v="0"/>
    <n v="0.12264501688034191"/>
    <n v="0"/>
    <n v="0"/>
    <n v="0"/>
    <n v="1.6638736378159547E-2"/>
    <n v="0"/>
    <n v="-1.9961945641077117E-3"/>
    <m/>
    <n v="0"/>
    <n v="0"/>
    <n v="0"/>
    <n v="0"/>
    <n v="-6.2680040510119939E-4"/>
    <n v="-1.1124241808529306E-3"/>
    <n v="0"/>
    <n v="-1.2486581292958848E-2"/>
    <m/>
    <m/>
    <m/>
    <n v="8.7953284704979762"/>
    <n v="0"/>
    <n v="0"/>
    <n v="-1.8918899999999983"/>
    <n v="9.3059999999999921E-2"/>
    <n v="0"/>
    <n v="0"/>
    <n v="-2.0160961026650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48"/>
    <s v="Regular"/>
    <s v="Convencional"/>
    <s v="B2"/>
    <s v="Rural"/>
    <s v="Não se aplica"/>
    <s v="Não se aplica"/>
    <s v="Não se aplica"/>
    <s v="Não se aplica"/>
    <s v="CATIVO"/>
    <x v="11"/>
    <n v="0"/>
    <n v="0"/>
    <n v="184.376"/>
    <n v="184.376"/>
    <n v="184.376"/>
    <n v="184.376"/>
    <m/>
    <n v="597.01"/>
    <n v="243.39"/>
    <m/>
    <n v="154949.59039999999"/>
    <n v="154949.59039999999"/>
    <n v="140361.76128000001"/>
    <n v="0"/>
    <n v="4587.9160411232733"/>
    <n v="0"/>
    <n v="0"/>
    <n v="0"/>
    <n v="21606.851160871378"/>
    <n v="75601.2630416756"/>
    <n v="44874.766647476747"/>
    <n v="0"/>
    <n v="0"/>
    <n v="0"/>
    <n v="0"/>
    <n v="0"/>
    <n v="1873.0925300263473"/>
    <m/>
    <n v="316.54988496290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87.9718660505969"/>
    <n v="0"/>
    <n v="98.94"/>
    <n v="456.72"/>
    <n v="0"/>
    <n v="1537"/>
    <m/>
    <m/>
    <m/>
    <m/>
    <m/>
    <n v="16844.591359999999"/>
    <m/>
    <m/>
    <m/>
    <n v="50962.738513527343"/>
    <m/>
    <m/>
    <m/>
    <m/>
    <m/>
    <m/>
    <m/>
    <m/>
    <m/>
    <m/>
    <m/>
    <m/>
    <n v="123519.8496"/>
    <n v="-12835.451199999996"/>
    <m/>
    <m/>
    <m/>
    <m/>
    <n v="-16147.650079999998"/>
    <n v="1559.8209600000016"/>
    <n v="30"/>
    <n v="2742.3759914489347"/>
    <n v="0"/>
    <n v="0"/>
    <n v="0"/>
    <n v="0"/>
    <n v="0"/>
    <n v="0"/>
    <n v="0"/>
    <n v="810.05420820199288"/>
    <n v="0"/>
    <n v="0"/>
    <n v="2055.7088756663579"/>
    <n v="0"/>
    <n v="0"/>
    <n v="0"/>
    <n v="278.8894234963218"/>
    <n v="0"/>
    <n v="-33.459124450175295"/>
    <m/>
    <n v="0"/>
    <n v="0"/>
    <n v="0"/>
    <n v="0"/>
    <n v="-10.506086499176263"/>
    <n v="-18.645847342630873"/>
    <n v="0"/>
    <n v="-339.66545762373823"/>
    <m/>
    <m/>
    <m/>
    <n v="75601.2630416756"/>
    <n v="0"/>
    <n v="0"/>
    <n v="-16147.650079999992"/>
    <n v="1559.8209600000046"/>
    <n v="0"/>
    <n v="0"/>
    <n v="-17329.58721054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49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12.340999999999999"/>
    <n v="12.340999999999999"/>
    <n v="12.340999999999999"/>
    <n v="12.340999999999999"/>
    <m/>
    <n v="597.01"/>
    <n v="243.39"/>
    <m/>
    <n v="10371.376399999999"/>
    <n v="10371.376399999999"/>
    <n v="9394.9564799999989"/>
    <n v="0"/>
    <n v="307.08699539800358"/>
    <n v="0"/>
    <n v="0"/>
    <n v="0"/>
    <n v="1446.2302586904677"/>
    <n v="5060.2854340983558"/>
    <n v="3003.6419880923249"/>
    <n v="0"/>
    <n v="0"/>
    <n v="0"/>
    <n v="0"/>
    <n v="0"/>
    <n v="125.37333987642181"/>
    <m/>
    <n v="21.1879101961600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7.49154336209921"/>
    <n v="0"/>
    <n v="0"/>
    <n v="0"/>
    <n v="0"/>
    <n v="7"/>
    <m/>
    <m/>
    <m/>
    <m/>
    <m/>
    <n v="1127.4737599999996"/>
    <m/>
    <m/>
    <m/>
    <n v="3411.133531454424"/>
    <m/>
    <m/>
    <m/>
    <m/>
    <m/>
    <m/>
    <m/>
    <m/>
    <m/>
    <m/>
    <m/>
    <m/>
    <n v="8266.8127999999997"/>
    <n v="-860.00375000000167"/>
    <m/>
    <m/>
    <m/>
    <m/>
    <n v="-1080.8247799999997"/>
    <n v="104.4048600000001"/>
    <n v="30"/>
    <n v="183.55784977693111"/>
    <n v="0"/>
    <n v="0"/>
    <n v="0"/>
    <n v="0"/>
    <n v="0"/>
    <n v="0"/>
    <n v="0"/>
    <n v="54.220066513107895"/>
    <n v="0"/>
    <n v="0"/>
    <n v="137.59655939275444"/>
    <n v="0"/>
    <n v="0"/>
    <n v="0"/>
    <n v="18.66714960389703"/>
    <n v="0"/>
    <n v="-2.2395488286957175"/>
    <m/>
    <n v="0"/>
    <n v="0"/>
    <n v="0"/>
    <n v="0"/>
    <n v="-0.70321307266853239"/>
    <n v="-1.2480388014460004"/>
    <n v="0"/>
    <n v="-22.735125030017755"/>
    <m/>
    <m/>
    <m/>
    <n v="5060.2854340983558"/>
    <n v="0"/>
    <n v="0"/>
    <n v="-1080.8247799999999"/>
    <n v="104.4048600000001"/>
    <n v="0"/>
    <n v="0"/>
    <n v="-1159.936411275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0"/>
    <s v="Regular"/>
    <s v="Branca"/>
    <s v="B2"/>
    <s v="Rural"/>
    <s v="Não se aplica"/>
    <s v="Não se aplica"/>
    <s v="Não se aplica"/>
    <s v="Ponta"/>
    <s v="CATIVO"/>
    <x v="11"/>
    <n v="0"/>
    <n v="0"/>
    <n v="2.7E-2"/>
    <n v="2.7E-2"/>
    <n v="2.7E-2"/>
    <n v="2.7E-2"/>
    <m/>
    <n v="1298.56"/>
    <n v="214.18"/>
    <m/>
    <n v="40.843979999999995"/>
    <n v="40.843979999999995"/>
    <n v="35.445869999999999"/>
    <n v="0"/>
    <n v="0.5912314245730953"/>
    <n v="0"/>
    <n v="0"/>
    <n v="0"/>
    <n v="7.4246815565008832"/>
    <n v="25.978477022569681"/>
    <n v="5.7828809364778886"/>
    <n v="0"/>
    <n v="0"/>
    <n v="0"/>
    <n v="0"/>
    <n v="0"/>
    <n v="0.24137999801181262"/>
    <m/>
    <n v="4.079286494293517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453926507442506"/>
    <n v="0"/>
    <n v="0"/>
    <n v="0"/>
    <n v="0"/>
    <n v="0"/>
    <m/>
    <m/>
    <m/>
    <m/>
    <m/>
    <m/>
    <m/>
    <m/>
    <m/>
    <n v="6.5674202015523138"/>
    <m/>
    <m/>
    <m/>
    <m/>
    <m/>
    <m/>
    <m/>
    <m/>
    <m/>
    <m/>
    <m/>
    <m/>
    <n v="39.384299999999996"/>
    <n v="-1.4896799999999928"/>
    <m/>
    <m/>
    <m/>
    <m/>
    <n v="-5.5992599999999966"/>
    <n v="0.20114999999999969"/>
    <n v="30"/>
    <n v="0.55684057031876044"/>
    <n v="0"/>
    <n v="0"/>
    <n v="0"/>
    <n v="0"/>
    <n v="0"/>
    <n v="0"/>
    <n v="0"/>
    <n v="0.27835590177501235"/>
    <n v="0"/>
    <n v="0"/>
    <n v="0.26491323646152942"/>
    <n v="0"/>
    <n v="0"/>
    <n v="0"/>
    <n v="3.5939670576825677E-2"/>
    <n v="0"/>
    <n v="-4.3117802584722309E-3"/>
    <m/>
    <n v="0"/>
    <n v="0"/>
    <n v="0"/>
    <n v="0"/>
    <n v="-1.3538888750173617E-3"/>
    <n v="-2.4028362306424758E-3"/>
    <n v="0"/>
    <n v="-1.4299733130475868E-2"/>
    <m/>
    <m/>
    <m/>
    <n v="25.978477022569681"/>
    <n v="0"/>
    <n v="0"/>
    <n v="-5.5992599999999939"/>
    <n v="0.20114999999999927"/>
    <n v="0"/>
    <n v="0"/>
    <n v="-5.9548778029220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1"/>
    <s v="Regular"/>
    <s v="Branca"/>
    <s v="B2"/>
    <s v="Rural"/>
    <s v="Não se aplica"/>
    <s v="Não se aplica"/>
    <s v="Não se aplica"/>
    <s v="Fora ponta"/>
    <s v="CATIVO"/>
    <x v="11"/>
    <n v="0"/>
    <n v="0"/>
    <n v="0.88200000000000001"/>
    <n v="0.88200000000000001"/>
    <n v="0.88200000000000001"/>
    <n v="0.88200000000000001"/>
    <m/>
    <n v="308.83999999999997"/>
    <n v="214.18"/>
    <m/>
    <n v="461.30363999999997"/>
    <n v="461.30363999999997"/>
    <n v="432.08298000000002"/>
    <n v="0"/>
    <n v="19.313559869387781"/>
    <n v="0"/>
    <n v="0"/>
    <n v="0"/>
    <n v="48.509301746104967"/>
    <n v="169.72613721003515"/>
    <n v="188.90744392494437"/>
    <n v="0"/>
    <n v="0"/>
    <n v="0"/>
    <n v="0"/>
    <n v="0"/>
    <n v="7.8850799350525458"/>
    <m/>
    <n v="1.332566921469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628282659097884"/>
    <n v="0"/>
    <n v="0"/>
    <n v="0"/>
    <n v="0"/>
    <n v="0"/>
    <m/>
    <m/>
    <m/>
    <m/>
    <m/>
    <m/>
    <m/>
    <m/>
    <m/>
    <n v="214.53572658404227"/>
    <m/>
    <m/>
    <m/>
    <m/>
    <m/>
    <m/>
    <m/>
    <m/>
    <m/>
    <m/>
    <m/>
    <m/>
    <n v="431.10320000000002"/>
    <n v="-30.23043999999993"/>
    <m/>
    <m/>
    <m/>
    <m/>
    <n v="-35.791559999999983"/>
    <n v="6.5708999999999902"/>
    <n v="30"/>
    <n v="9.6834465167028156"/>
    <n v="0"/>
    <n v="0"/>
    <n v="0"/>
    <n v="0"/>
    <n v="0"/>
    <n v="0"/>
    <n v="0"/>
    <n v="1.8186437127650805"/>
    <n v="0"/>
    <n v="0"/>
    <n v="8.6538323910766337"/>
    <n v="0"/>
    <n v="0"/>
    <n v="0"/>
    <n v="1.1740292388429729"/>
    <n v="0"/>
    <n v="-0.14085148844342754"/>
    <m/>
    <n v="0"/>
    <n v="0"/>
    <n v="0"/>
    <n v="0"/>
    <n v="-4.4227036583900592E-2"/>
    <n v="-7.8492650200987724E-2"/>
    <n v="0"/>
    <n v="-1.6994876507535621"/>
    <m/>
    <m/>
    <m/>
    <n v="169.72613721003515"/>
    <n v="0"/>
    <n v="0"/>
    <n v="-35.791559999999947"/>
    <n v="6.5708999999999662"/>
    <n v="0"/>
    <n v="0"/>
    <n v="-38.90522166367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2"/>
    <s v="Regular"/>
    <s v="Branca"/>
    <s v="B2"/>
    <s v="Rural"/>
    <s v="Não se aplica"/>
    <s v="Não se aplica"/>
    <s v="Não se aplica"/>
    <s v="Não se aplica"/>
    <s v="CATIVO"/>
    <x v="11"/>
    <n v="0"/>
    <n v="0"/>
    <n v="0.184"/>
    <n v="0.184"/>
    <n v="0.184"/>
    <n v="0.184"/>
    <m/>
    <n v="597.01"/>
    <n v="243.39"/>
    <m/>
    <n v="154.6336"/>
    <n v="154.6336"/>
    <n v="140.07551999999998"/>
    <n v="0"/>
    <n v="4.5785598535963583"/>
    <n v="0"/>
    <n v="0"/>
    <n v="0"/>
    <n v="21.562788072202096"/>
    <n v="75.447088556364761"/>
    <n v="44.783253043431472"/>
    <n v="0"/>
    <n v="0"/>
    <n v="0"/>
    <n v="0"/>
    <n v="0"/>
    <n v="1.8692727118759918"/>
    <m/>
    <n v="0.315904341308924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755565982194524"/>
    <n v="0"/>
    <n v="1.01"/>
    <n v="4.67"/>
    <n v="0"/>
    <n v="8"/>
    <m/>
    <m/>
    <m/>
    <m/>
    <m/>
    <n v="16.810239999999997"/>
    <m/>
    <m/>
    <m/>
    <n v="50.858809641650922"/>
    <m/>
    <m/>
    <m/>
    <m/>
    <m/>
    <m/>
    <m/>
    <m/>
    <m/>
    <m/>
    <m/>
    <m/>
    <n v="120.5856"/>
    <n v="-15.521600000000007"/>
    <m/>
    <m/>
    <m/>
    <m/>
    <n v="-16.114719999999998"/>
    <n v="1.5566400000000014"/>
    <n v="30"/>
    <n v="2.7367834339968766"/>
    <n v="0"/>
    <n v="0"/>
    <n v="0"/>
    <n v="0"/>
    <n v="0"/>
    <n v="0"/>
    <n v="0"/>
    <n v="0.80840225576629621"/>
    <n v="0"/>
    <n v="0"/>
    <n v="2.0515166459984471"/>
    <n v="0"/>
    <n v="0"/>
    <n v="0"/>
    <n v="0.27832068123466858"/>
    <n v="0"/>
    <n v="-3.3390890890528269E-2"/>
    <m/>
    <n v="0"/>
    <n v="0"/>
    <n v="0"/>
    <n v="0"/>
    <n v="-1.0484661321692679E-2"/>
    <n v="-1.860782266153993E-2"/>
    <n v="0"/>
    <n v="-0.33897277412877941"/>
    <m/>
    <m/>
    <m/>
    <n v="75.447088556364761"/>
    <n v="0"/>
    <n v="0"/>
    <n v="-16.114720000000005"/>
    <n v="1.5566400000000016"/>
    <n v="0"/>
    <n v="0"/>
    <n v="-17.294246793184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3"/>
    <s v="Regular"/>
    <s v="Branca"/>
    <s v="B2"/>
    <s v="Rural"/>
    <s v="Não se aplica"/>
    <s v="Não se aplica"/>
    <s v="Não se aplica"/>
    <s v="Intermediário"/>
    <s v="CATIVO"/>
    <x v="11"/>
    <n v="0"/>
    <n v="0"/>
    <n v="2.7E-2"/>
    <n v="2.7E-2"/>
    <n v="2.7E-2"/>
    <n v="2.7E-2"/>
    <m/>
    <n v="803.7"/>
    <n v="214.18"/>
    <m/>
    <n v="27.482759999999999"/>
    <n v="27.482759999999999"/>
    <n v="24.336449999999999"/>
    <n v="0"/>
    <n v="0.5912314245730953"/>
    <n v="0"/>
    <n v="0"/>
    <n v="0"/>
    <n v="4.4548287168732834"/>
    <n v="15.587080866853245"/>
    <n v="5.7828809364778886"/>
    <n v="0"/>
    <n v="0"/>
    <n v="0"/>
    <n v="0"/>
    <n v="0"/>
    <n v="0.24137999801181262"/>
    <m/>
    <n v="4.079286494293517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453926507442506"/>
    <n v="0"/>
    <n v="0"/>
    <n v="0"/>
    <n v="0"/>
    <n v="0"/>
    <m/>
    <m/>
    <m/>
    <m/>
    <m/>
    <m/>
    <m/>
    <m/>
    <m/>
    <n v="6.5674202015523138"/>
    <m/>
    <m/>
    <m/>
    <m/>
    <m/>
    <m/>
    <m/>
    <m/>
    <m/>
    <m/>
    <m/>
    <m/>
    <n v="27.040500000000002"/>
    <n v="-0.47226000000000212"/>
    <m/>
    <m/>
    <m/>
    <m/>
    <n v="-3.3474600000000003"/>
    <n v="0.20114999999999969"/>
    <n v="30"/>
    <n v="0.42663624039220061"/>
    <n v="0"/>
    <n v="0"/>
    <n v="0"/>
    <n v="0"/>
    <n v="0"/>
    <n v="0"/>
    <n v="0"/>
    <n v="0.16701428274087693"/>
    <n v="0"/>
    <n v="0"/>
    <n v="0.26491323646152942"/>
    <n v="0"/>
    <n v="0"/>
    <n v="0"/>
    <n v="3.5939670576825677E-2"/>
    <n v="0"/>
    <n v="-4.3117802584722309E-3"/>
    <m/>
    <n v="0"/>
    <n v="0"/>
    <n v="0"/>
    <n v="0"/>
    <n v="-1.3538888750173617E-3"/>
    <n v="-2.4028362306424758E-3"/>
    <n v="0"/>
    <n v="-3.3162444022902568E-2"/>
    <m/>
    <m/>
    <m/>
    <n v="15.587080866853245"/>
    <n v="0"/>
    <n v="0"/>
    <n v="-3.3474599999999981"/>
    <n v="0.20114999999999927"/>
    <n v="0"/>
    <n v="0"/>
    <n v="-3.572925456166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4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20.172999999999998"/>
    <n v="20.172999999999998"/>
    <n v="20.172999999999998"/>
    <n v="20.172999999999998"/>
    <m/>
    <n v="597.01"/>
    <n v="243.39"/>
    <m/>
    <n v="16953.389199999998"/>
    <n v="16953.389199999998"/>
    <n v="15357.301439999999"/>
    <n v="0"/>
    <n v="501.97439090543116"/>
    <n v="0"/>
    <n v="0"/>
    <n v="0"/>
    <n v="2364.0550205463742"/>
    <n v="8271.7071600410127"/>
    <n v="4909.8508893757771"/>
    <n v="0"/>
    <n v="0"/>
    <n v="0"/>
    <n v="0"/>
    <n v="0"/>
    <n v="204.93933922105643"/>
    <m/>
    <n v="34.634447158831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6.09893073848377"/>
    <n v="0"/>
    <n v="28.24"/>
    <n v="130.32"/>
    <n v="1744.13"/>
    <n v="30"/>
    <m/>
    <m/>
    <m/>
    <m/>
    <m/>
    <m/>
    <m/>
    <m/>
    <m/>
    <n v="5575.9498201142605"/>
    <m/>
    <m/>
    <m/>
    <m/>
    <m/>
    <m/>
    <m/>
    <m/>
    <m/>
    <m/>
    <m/>
    <m/>
    <n v="15355.017600000001"/>
    <n v="-1598.4015999999956"/>
    <m/>
    <m/>
    <m/>
    <m/>
    <n v="-1766.7513399999996"/>
    <n v="170.66358000000014"/>
    <n v="30"/>
    <n v="300.04963159792715"/>
    <n v="0"/>
    <n v="0"/>
    <n v="0"/>
    <n v="0"/>
    <n v="0"/>
    <n v="0"/>
    <n v="0"/>
    <n v="88.629884269420927"/>
    <n v="0"/>
    <n v="0"/>
    <n v="224.91981141155793"/>
    <n v="0"/>
    <n v="0"/>
    <n v="0"/>
    <n v="30.513929905146483"/>
    <n v="0"/>
    <n v="-3.6608393583404109"/>
    <m/>
    <n v="0"/>
    <n v="0"/>
    <n v="0"/>
    <n v="0"/>
    <n v="-1.1494949611006007"/>
    <n v="-2.0400848182132876"/>
    <n v="0"/>
    <n v="-37.163574850542751"/>
    <m/>
    <m/>
    <m/>
    <n v="8271.7071600410127"/>
    <n v="0"/>
    <n v="0"/>
    <n v="-1766.7513399999989"/>
    <n v="170.66358000000037"/>
    <n v="0"/>
    <n v="0"/>
    <n v="-1896.0697856462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5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116.187"/>
    <n v="116.187"/>
    <n v="116.187"/>
    <n v="116.187"/>
    <m/>
    <n v="328.35"/>
    <n v="133.86000000000001"/>
    <m/>
    <n v="53702.793270000002"/>
    <n v="53702.793270000002"/>
    <n v="48647.496899999998"/>
    <n v="0"/>
    <n v="1590.1251279369048"/>
    <n v="0"/>
    <n v="0"/>
    <n v="0"/>
    <n v="7488.7152813028242"/>
    <n v="26202.63034214186"/>
    <n v="15553.13859644808"/>
    <n v="0"/>
    <n v="0"/>
    <n v="0"/>
    <n v="0"/>
    <n v="0"/>
    <n v="649.19485715274311"/>
    <m/>
    <n v="109.71297683159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0.0292497963524"/>
    <n v="0"/>
    <n v="0"/>
    <n v="0"/>
    <n v="0"/>
    <n v="5"/>
    <m/>
    <m/>
    <m/>
    <m/>
    <m/>
    <m/>
    <m/>
    <m/>
    <m/>
    <n v="17663.167846244432"/>
    <m/>
    <m/>
    <m/>
    <m/>
    <m/>
    <m/>
    <m/>
    <m/>
    <m/>
    <m/>
    <m/>
    <m/>
    <n v="48648.752999999997"/>
    <n v="-5054.0702700000111"/>
    <m/>
    <m/>
    <m/>
    <m/>
    <n v="-5596.7277900000017"/>
    <n v="541.43141999999955"/>
    <n v="30"/>
    <n v="950.4796807890234"/>
    <n v="0"/>
    <n v="0"/>
    <n v="0"/>
    <n v="0"/>
    <n v="0"/>
    <n v="0"/>
    <n v="0"/>
    <n v="280.75656570593401"/>
    <n v="0"/>
    <n v="0"/>
    <n v="712.48782881380612"/>
    <n v="0"/>
    <n v="0"/>
    <n v="0"/>
    <n v="96.660243178451765"/>
    <n v="0"/>
    <n v="-11.59659289100091"/>
    <m/>
    <n v="0"/>
    <n v="0"/>
    <n v="0"/>
    <n v="0"/>
    <n v="-3.6413029333722307"/>
    <n v="-6.462461415038149"/>
    <n v="0"/>
    <n v="-117.72459966975757"/>
    <m/>
    <m/>
    <m/>
    <n v="26202.63034214186"/>
    <n v="0"/>
    <n v="0"/>
    <n v="-5596.7277900000045"/>
    <n v="541.4314200000008"/>
    <n v="0"/>
    <n v="0"/>
    <n v="-6006.2590146079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6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74.944000000000003"/>
    <n v="70.447360000000003"/>
    <n v="74.944000000000003"/>
    <n v="70.447360000000003"/>
    <m/>
    <n v="597.01"/>
    <n v="243.39"/>
    <m/>
    <n v="62982.937599999997"/>
    <n v="62982.937599999997"/>
    <n v="57053.368320000009"/>
    <n v="0"/>
    <n v="1864.8673351517691"/>
    <n v="0"/>
    <n v="0"/>
    <n v="0"/>
    <n v="8782.6173330604015"/>
    <n v="30729.92719982718"/>
    <n v="18240.41367438548"/>
    <n v="0"/>
    <n v="0"/>
    <n v="0"/>
    <n v="0"/>
    <n v="0"/>
    <n v="761.36290281975187"/>
    <m/>
    <n v="128.669211712261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74.6006179182536"/>
    <n v="0"/>
    <n v="0"/>
    <n v="0"/>
    <n v="0"/>
    <n v="9"/>
    <m/>
    <m/>
    <m/>
    <m/>
    <n v="3423.2020991999998"/>
    <m/>
    <m/>
    <m/>
    <m/>
    <n v="20715.014292303735"/>
    <m/>
    <m/>
    <m/>
    <m/>
    <m/>
    <m/>
    <m/>
    <m/>
    <m/>
    <m/>
    <m/>
    <m/>
    <n v="53632.176000000007"/>
    <n v="-5571.8153439999951"/>
    <m/>
    <m/>
    <m/>
    <m/>
    <n v="-6563.5955199999989"/>
    <n v="634.0262400000006"/>
    <n v="30"/>
    <n v="1114.7037917253328"/>
    <n v="0"/>
    <n v="0"/>
    <n v="0"/>
    <n v="0"/>
    <n v="0"/>
    <n v="0"/>
    <n v="0"/>
    <n v="329.26575356602916"/>
    <n v="0"/>
    <n v="0"/>
    <n v="835.59164955275992"/>
    <n v="0"/>
    <n v="0"/>
    <n v="0"/>
    <n v="113.3612235567989"/>
    <n v="0"/>
    <n v="-13.600255037498755"/>
    <m/>
    <n v="0"/>
    <n v="0"/>
    <n v="0"/>
    <n v="0"/>
    <n v="-4.2704481418095384"/>
    <n v="-7.5790470736219788"/>
    <n v="0"/>
    <n v="-138.06508469732199"/>
    <m/>
    <m/>
    <m/>
    <n v="30729.92719982718"/>
    <n v="0"/>
    <n v="0"/>
    <n v="-6563.5955199999953"/>
    <n v="634.02624000000287"/>
    <n v="0"/>
    <n v="0"/>
    <n v="-7044.0219112414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7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3.556"/>
    <n v="3.556"/>
    <n v="3.556"/>
    <n v="3.556"/>
    <m/>
    <n v="597.01"/>
    <n v="243.39"/>
    <m/>
    <n v="2988.4623999999999"/>
    <n v="2988.4623999999999"/>
    <n v="2707.11168"/>
    <n v="0"/>
    <n v="88.485645866242663"/>
    <n v="0"/>
    <n v="0"/>
    <n v="0"/>
    <n v="416.72431730842749"/>
    <n v="1458.0969940567018"/>
    <n v="865.48504251327347"/>
    <n v="0"/>
    <n v="0"/>
    <n v="0"/>
    <n v="0"/>
    <n v="0"/>
    <n v="36.125726975168625"/>
    <m/>
    <n v="6.1051947700790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41673512645855"/>
    <n v="0"/>
    <n v="0"/>
    <n v="0"/>
    <n v="1070.69"/>
    <n v="3"/>
    <m/>
    <m/>
    <m/>
    <m/>
    <m/>
    <m/>
    <m/>
    <m/>
    <m/>
    <n v="982.90177763973202"/>
    <m/>
    <m/>
    <m/>
    <m/>
    <m/>
    <m/>
    <m/>
    <m/>
    <m/>
    <m/>
    <m/>
    <m/>
    <n v="2710.1567999999997"/>
    <n v="-278.3356000000008"/>
    <m/>
    <m/>
    <m/>
    <m/>
    <n v="-311.43447999999995"/>
    <n v="30.08376000000003"/>
    <n v="30"/>
    <n v="52.891314626591566"/>
    <n v="0"/>
    <n v="0"/>
    <n v="0"/>
    <n v="0"/>
    <n v="0"/>
    <n v="0"/>
    <n v="0"/>
    <n v="15.623252290787775"/>
    <n v="0"/>
    <n v="0"/>
    <n v="39.647789093317783"/>
    <n v="0"/>
    <n v="0"/>
    <n v="0"/>
    <n v="5.3788496873395815"/>
    <n v="0"/>
    <n v="-0.64531526090607372"/>
    <m/>
    <n v="0"/>
    <n v="0"/>
    <n v="0"/>
    <n v="0"/>
    <n v="-0.20262747641271517"/>
    <n v="-0.35961639882845642"/>
    <n v="0"/>
    <n v="-6.5510173087061929"/>
    <m/>
    <m/>
    <m/>
    <n v="1458.0969940567018"/>
    <n v="0"/>
    <n v="0"/>
    <n v="-311.43447999999989"/>
    <n v="30.083759999999984"/>
    <n v="0"/>
    <n v="0"/>
    <n v="-334.23011737263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58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"/>
    <m/>
    <m/>
    <m/>
    <m/>
    <n v="0"/>
    <m/>
    <m/>
    <m/>
    <m/>
    <n v="0"/>
    <n v="0"/>
    <n v="0"/>
    <n v="0"/>
  </r>
  <r>
    <n v="359"/>
    <s v="Regular"/>
    <s v="Convencional"/>
    <s v="B2"/>
    <s v="Rural"/>
    <s v="Agropecuária rural"/>
    <s v="IRRIG./AQUIC."/>
    <s v="Não se aplica"/>
    <s v="Não se aplica"/>
    <s v="CATIVO"/>
    <x v="11"/>
    <n v="0"/>
    <n v="0"/>
    <n v="5.8929999999999998"/>
    <n v="5.8929999999999998"/>
    <n v="5.8929999999999998"/>
    <n v="5.8929999999999998"/>
    <m/>
    <n v="597.01"/>
    <n v="243.39"/>
    <m/>
    <n v="4952.4771999999994"/>
    <n v="4952.4771999999994"/>
    <n v="4486.2230399999999"/>
    <n v="0"/>
    <n v="146.63833270240946"/>
    <n v="0"/>
    <n v="0"/>
    <n v="0"/>
    <n v="690.59516363851606"/>
    <n v="2416.3570264274867"/>
    <n v="1434.2810336138134"/>
    <n v="0"/>
    <n v="0"/>
    <n v="0"/>
    <n v="0"/>
    <n v="0"/>
    <n v="59.867522234158805"/>
    <m/>
    <n v="10.117523278986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58290778971323"/>
    <n v="0"/>
    <n v="0"/>
    <n v="0"/>
    <n v="0"/>
    <n v="0"/>
    <m/>
    <m/>
    <m/>
    <m/>
    <m/>
    <n v="538.38447999999994"/>
    <m/>
    <m/>
    <m/>
    <n v="1628.8639414035267"/>
    <m/>
    <m/>
    <m/>
    <m/>
    <m/>
    <m/>
    <m/>
    <m/>
    <m/>
    <m/>
    <m/>
    <m/>
    <n v="3945.8288000000002"/>
    <n v="-412.36934999999994"/>
    <m/>
    <m/>
    <m/>
    <m/>
    <n v="-516.10893999999985"/>
    <n v="49.854780000000048"/>
    <n v="30"/>
    <n v="87.651439002953339"/>
    <n v="0"/>
    <n v="0"/>
    <n v="0"/>
    <n v="0"/>
    <n v="0"/>
    <n v="0"/>
    <n v="0"/>
    <n v="25.890839637123804"/>
    <n v="0"/>
    <n v="0"/>
    <n v="65.704280406895805"/>
    <n v="0"/>
    <n v="0"/>
    <n v="0"/>
    <n v="8.9138248614994495"/>
    <n v="0"/>
    <n v="-1.0694158696624356"/>
    <m/>
    <n v="0"/>
    <n v="0"/>
    <n v="0"/>
    <n v="0"/>
    <n v="-0.33579407156921803"/>
    <n v="-0.59595597252421051"/>
    <n v="0"/>
    <n v="-10.856339988809221"/>
    <m/>
    <m/>
    <m/>
    <n v="2416.3570264274867"/>
    <n v="0"/>
    <n v="0"/>
    <n v="-516.10894000000008"/>
    <n v="49.854780000000119"/>
    <n v="0"/>
    <n v="0"/>
    <n v="-553.8858497404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  <r>
    <n v="360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3.532"/>
    <n v="0.95364000000000004"/>
    <n v="3.532"/>
    <n v="0.95364000000000004"/>
    <m/>
    <n v="597.01"/>
    <n v="243.39"/>
    <m/>
    <n v="2968.2927999999997"/>
    <n v="2968.2927999999997"/>
    <n v="2688.84096"/>
    <n v="0"/>
    <n v="87.888442407077932"/>
    <n v="0"/>
    <n v="0"/>
    <n v="0"/>
    <n v="413.9117797337924"/>
    <n v="1448.2560694623933"/>
    <n v="859.64374863804323"/>
    <n v="0"/>
    <n v="0"/>
    <n v="0"/>
    <n v="0"/>
    <n v="0"/>
    <n v="35.881908795358711"/>
    <m/>
    <n v="6.0639898559952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62427122234297"/>
    <n v="0"/>
    <n v="0"/>
    <n v="0"/>
    <n v="0"/>
    <n v="0"/>
    <m/>
    <m/>
    <m/>
    <m/>
    <m/>
    <m/>
    <n v="2049.9784512000001"/>
    <m/>
    <m/>
    <n v="976.26801986038618"/>
    <m/>
    <m/>
    <m/>
    <m/>
    <m/>
    <m/>
    <m/>
    <m/>
    <m/>
    <m/>
    <m/>
    <m/>
    <n v="636.42399999999998"/>
    <n v="-68.870462000000089"/>
    <m/>
    <m/>
    <m/>
    <m/>
    <n v="-309.33255999999994"/>
    <n v="29.880720000000029"/>
    <n v="30"/>
    <n v="52.534342874331287"/>
    <n v="0"/>
    <n v="0"/>
    <n v="0"/>
    <n v="0"/>
    <n v="0"/>
    <n v="0"/>
    <n v="0"/>
    <n v="15.517808518296533"/>
    <n v="0"/>
    <n v="0"/>
    <n v="39.380199965578868"/>
    <n v="0"/>
    <n v="0"/>
    <n v="0"/>
    <n v="5.3425469897872233"/>
    <n v="0"/>
    <n v="-0.64095992731166973"/>
    <m/>
    <n v="0"/>
    <n v="0"/>
    <n v="0"/>
    <n v="0"/>
    <n v="-0.20125991189249248"/>
    <n v="-0.35718929152477763"/>
    <n v="0"/>
    <n v="-6.5068034686024392"/>
    <m/>
    <m/>
    <m/>
    <n v="1448.2560694623933"/>
    <n v="0"/>
    <n v="0"/>
    <n v="-309.33255999999983"/>
    <n v="29.880719999999997"/>
    <n v="0"/>
    <n v="0"/>
    <n v="-331.97434605178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58">
        <item m="1" x="37"/>
        <item m="1" x="45"/>
        <item m="1" x="53"/>
        <item m="1" x="15"/>
        <item m="1" x="22"/>
        <item m="1" x="26"/>
        <item m="1" x="33"/>
        <item m="1" x="41"/>
        <item m="1" x="49"/>
        <item m="1" x="12"/>
        <item m="1" x="19"/>
        <item m="1" x="30"/>
        <item m="1" x="38"/>
        <item m="1" x="46"/>
        <item m="1" x="54"/>
        <item m="1" x="16"/>
        <item m="1" x="23"/>
        <item m="1" x="27"/>
        <item m="1" x="34"/>
        <item m="1" x="42"/>
        <item m="1" x="50"/>
        <item m="1" x="13"/>
        <item m="1" x="20"/>
        <item m="1" x="31"/>
        <item m="1" x="39"/>
        <item m="1" x="47"/>
        <item m="1" x="55"/>
        <item m="1" x="17"/>
        <item m="1" x="24"/>
        <item m="1" x="28"/>
        <item m="1" x="35"/>
        <item m="1" x="43"/>
        <item m="1" x="51"/>
        <item m="1" x="14"/>
        <item m="1" x="21"/>
        <item m="1" x="32"/>
        <item m="1" x="40"/>
        <item m="1" x="48"/>
        <item m="1" x="56"/>
        <item m="1" x="18"/>
        <item m="1" x="25"/>
        <item m="1" x="29"/>
        <item m="1" x="36"/>
        <item m="1" x="44"/>
        <item m="1"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2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57" dataDxfId="556">
  <autoFilter ref="AA5:AE7" xr:uid="{B3DE7FE8-5926-4E44-9EDC-9655DE4A4B67}"/>
  <tableColumns count="5">
    <tableColumn id="1" xr3:uid="{1315B14B-5316-4DE2-9050-0B99168CC239}" name="Cotas" dataDxfId="555"/>
    <tableColumn id="2" xr3:uid="{00C64702-8D8C-4EE8-B854-0E39030818B6}" name="Valor da &quot;Cota&quot;" dataDxfId="554"/>
    <tableColumn id="3" xr3:uid="{63BFFE80-8EC9-4566-842F-9FD193C67815}" name="Ano" dataDxfId="553"/>
    <tableColumn id="4" xr3:uid="{7B5A7EF8-5CB6-4557-B7D2-1C4857462594}" name="Custo Médio da Cota" dataDxfId="552"/>
    <tableColumn id="5" xr3:uid="{D3F4B71D-C886-4718-A85E-FA54E9F8D838}" name="Energia MWh" dataDxfId="55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50" dataDxfId="549" headerRowCellStyle="Normal 5" dataCellStyle="Normal 5">
  <autoFilter ref="AA21:AG23" xr:uid="{8109BFC4-5B84-4531-A319-ED0D5E86A4C5}"/>
  <tableColumns count="7">
    <tableColumn id="1" xr3:uid="{59A03A63-2F04-4649-A4AF-9B891D5BEBED}" name="Leilão" dataDxfId="548" dataCellStyle="Normal 5"/>
    <tableColumn id="2" xr3:uid="{1B8E1FA7-1B1E-42CD-98A0-C36F374D9818}" name="Produto" dataDxfId="547" dataCellStyle="Normal 5"/>
    <tableColumn id="3" xr3:uid="{3C5EB2AC-0FA8-44FB-8B3B-4F205233DD96}" name="Modalidade" dataDxfId="546" dataCellStyle="Normal 5"/>
    <tableColumn id="4" xr3:uid="{C358BA83-832A-4936-8DD9-2979DA133039}" name="Fonte" dataDxfId="545" dataCellStyle="Normal 5"/>
    <tableColumn id="5" xr3:uid="{9CA52279-BDEC-44E2-A60F-C256B4A0590B}" name="Montante" dataDxfId="544" dataCellStyle="Normal 5"/>
    <tableColumn id="6" xr3:uid="{4C1D6705-AC4A-482B-AC5B-B0F755A722F2}" name="Data Base" dataDxfId="543" dataCellStyle="Vírgula"/>
    <tableColumn id="7" xr3:uid="{3DEA0CF9-631C-4B3F-B4AC-928E92F0AB84}" name="Custo Base" dataDxfId="54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41" dataDxfId="540">
  <autoFilter ref="AA10:AD11" xr:uid="{3C49DBE7-062C-4416-B6BA-09DB0F685AD5}"/>
  <tableColumns count="4">
    <tableColumn id="1" xr3:uid="{6F9C1B42-695A-4B8B-B63F-DA108D710421}" name="GSF previsto" dataDxfId="539" dataCellStyle="Normal 5"/>
    <tableColumn id="2" xr3:uid="{4D1DBAC9-9D60-4D51-A973-81AD2081E4F6}" name="PLD" dataDxfId="538" dataCellStyle="Normal 5"/>
    <tableColumn id="3" xr3:uid="{0DCF2C66-C111-4FF7-BEB4-BFD00E93A10A}" name="MWm repactuado" dataDxfId="537" dataCellStyle="Normal 5"/>
    <tableColumn id="4" xr3:uid="{030AED12-E9C5-474F-937C-742184A44EF8}" name="Fator de rateio" dataDxfId="53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35" dataDxfId="534">
  <autoFilter ref="AI5:AJ20" xr:uid="{C3573309-01D4-4FAA-88C4-46F0CAA1CC27}"/>
  <tableColumns count="2">
    <tableColumn id="1" xr3:uid="{56AC757E-E114-458B-A041-461374D0BA5F}" name="Data" dataDxfId="533"/>
    <tableColumn id="2" xr3:uid="{578DAC09-D952-4F72-9444-614F5761412A}" name="Valor Pis/Cofins Transmissora" dataDxfId="53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31"/>
    <tableColumn id="2" xr3:uid="{AAB31625-7790-4B9A-AC2F-62007C1AB8C0}" name="Valor" dataDxfId="53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6" totalsRowShown="0" headerRowDxfId="529">
  <autoFilter ref="B70:D76" xr:uid="{2E07311B-F74E-449E-81FD-B2BBBED3E4B3}"/>
  <tableColumns count="3">
    <tableColumn id="1" xr3:uid="{34D06310-1B0F-4D68-8C00-ED68EED3BDEB}" name="Encargo" dataDxfId="528"/>
    <tableColumn id="2" xr3:uid="{9D37526B-68DA-4918-8BA1-31EFC93C676E}" name="Valor" dataDxfId="527" dataCellStyle="Vírgula"/>
    <tableColumn id="3" xr3:uid="{62B99FEA-2637-4880-B5A6-705D0DFDF64C}" name="DSP" dataDxfId="52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25">
  <autoFilter ref="AA15:AB16" xr:uid="{1246E986-5AFA-4E40-BCC4-649D094A68F9}"/>
  <tableColumns count="2">
    <tableColumn id="1" xr3:uid="{D4D96454-0BF2-4CE9-B9F7-0CF391A2F556}" name="Proinfa" dataDxfId="524"/>
    <tableColumn id="2" xr3:uid="{62B09719-28BC-4F30-8705-5FB3C24A0D07}" name="MWh" dataDxfId="52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>
    <filterColumn colId="0">
      <filters>
        <filter val="Cercos"/>
      </filters>
    </filterColumn>
  </autoFilter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/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82" totalsRowShown="0" headerRowDxfId="414" dataDxfId="413" headerRowCellStyle="Normal 54 2" dataCellStyle="Normal 54 2">
  <autoFilter ref="AO164:AP182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193:AY238" totalsRowShown="0" headerRowDxfId="410" dataDxfId="409" headerRowCellStyle="Normal 54 2" dataCellStyle="Normal 54 2">
  <autoFilter ref="AY193:AY238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IF(AW194=0,0,1)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61:BS268" totalsRowShown="0" headerRowDxfId="407" dataDxfId="406" tableBorderDxfId="405" headerRowCellStyle="Normal 54 2" dataCellStyle="Year 2 6">
  <autoFilter ref="BS261:BS268" xr:uid="{00000000-0009-0000-0100-000013000000}"/>
  <tableColumns count="1">
    <tableColumn id="1" xr3:uid="{00000000-0010-0000-0D00-000001000000}" name="Colunas1" dataDxfId="404" dataCellStyle="Year 2 6">
      <calculatedColumnFormula>IF(BR262=0,0,1)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41:BJ248" totalsRowShown="0" headerRowDxfId="403" dataDxfId="401" headerRowBorderDxfId="402" tableBorderDxfId="400" totalsRowBorderDxfId="399" headerRowCellStyle="Normal 54 2" dataCellStyle="Normal 54 2">
  <autoFilter ref="BJ241:BJ248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IF(BH242=0,0,1)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70:BZ277" totalsRowShown="0" headerRowDxfId="397" dataDxfId="396" headerRowCellStyle="Normal 54 2" dataCellStyle="Normal 54 2">
  <autoFilter ref="BY270:BZ277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IF(BU271=0,0,1)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50:BN258" totalsRowShown="0" headerRowDxfId="393" dataDxfId="391" headerRowBorderDxfId="392" tableBorderDxfId="390" totalsRowBorderDxfId="389" headerRowCellStyle="Normal 54 2" dataCellStyle="Normal 54 2">
  <autoFilter ref="BN250:BN258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IF(BM251=0,0,1)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362" totalsRowShown="0" headerRowDxfId="383" dataDxfId="382" totalsRowDxfId="381">
  <autoFilter ref="A2:FI362" xr:uid="{00000000-000C-0000-FFFF-FFFF12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77" headerRowDxfId="42" dataDxfId="40" totalsRowDxfId="38" headerRowBorderDxfId="41" tableBorderDxfId="39"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66" totalsRowShown="0"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13" Type="http://schemas.openxmlformats.org/officeDocument/2006/relationships/table" Target="../tables/table23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12" Type="http://schemas.openxmlformats.org/officeDocument/2006/relationships/table" Target="../tables/table2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16.xml"/><Relationship Id="rId11" Type="http://schemas.openxmlformats.org/officeDocument/2006/relationships/table" Target="../tables/table21.xml"/><Relationship Id="rId5" Type="http://schemas.openxmlformats.org/officeDocument/2006/relationships/table" Target="../tables/table15.xml"/><Relationship Id="rId15" Type="http://schemas.openxmlformats.org/officeDocument/2006/relationships/table" Target="../tables/table2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Relationship Id="rId14" Type="http://schemas.openxmlformats.org/officeDocument/2006/relationships/table" Target="../tables/table2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/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2223</v>
      </c>
    </row>
    <row r="2" spans="1:15">
      <c r="A2">
        <v>252</v>
      </c>
      <c r="B2" s="1025">
        <v>43922</v>
      </c>
      <c r="C2" s="234"/>
      <c r="D2" s="234"/>
      <c r="E2" s="234"/>
      <c r="F2" s="234"/>
      <c r="G2" s="234"/>
      <c r="H2" s="234"/>
      <c r="I2" s="1026"/>
    </row>
    <row r="3" spans="1:15">
      <c r="A3">
        <v>255</v>
      </c>
      <c r="B3" s="1025">
        <v>43922</v>
      </c>
      <c r="C3" s="234"/>
      <c r="D3" s="234"/>
      <c r="E3" s="234"/>
      <c r="F3" s="234"/>
      <c r="G3" s="234"/>
      <c r="H3" s="234"/>
      <c r="I3" s="1026"/>
    </row>
    <row r="4" spans="1:15">
      <c r="A4">
        <v>206</v>
      </c>
      <c r="B4" s="1025">
        <v>43922</v>
      </c>
      <c r="C4" s="234"/>
      <c r="D4" s="234"/>
      <c r="E4" s="234"/>
      <c r="F4" s="234"/>
      <c r="G4" s="234"/>
      <c r="H4" s="234"/>
      <c r="I4" s="1026"/>
    </row>
    <row r="5" spans="1:15">
      <c r="A5">
        <v>256</v>
      </c>
      <c r="B5" s="1025">
        <v>43922</v>
      </c>
      <c r="C5" s="234"/>
      <c r="D5" s="234"/>
      <c r="E5" s="234"/>
      <c r="F5" s="234"/>
      <c r="G5" s="234"/>
      <c r="H5" s="234"/>
      <c r="I5" s="1026"/>
      <c r="J5" s="234">
        <v>4154376.2782662762</v>
      </c>
    </row>
    <row r="6" spans="1:15">
      <c r="A6">
        <v>203</v>
      </c>
      <c r="B6" s="1025">
        <v>43952</v>
      </c>
      <c r="C6" s="234"/>
      <c r="D6" s="234"/>
      <c r="E6" s="234"/>
      <c r="F6" s="234"/>
      <c r="G6" s="234"/>
      <c r="H6" s="234"/>
      <c r="I6" s="1026"/>
      <c r="J6" s="234"/>
    </row>
    <row r="7" spans="1:15">
      <c r="A7">
        <v>211</v>
      </c>
      <c r="B7" s="1025">
        <v>43952</v>
      </c>
      <c r="C7" s="234"/>
      <c r="D7" s="234"/>
      <c r="E7" s="234"/>
      <c r="F7" s="234"/>
      <c r="G7" s="234"/>
      <c r="H7" s="234"/>
      <c r="I7" s="1026"/>
      <c r="J7" s="234">
        <v>18046086.986190885</v>
      </c>
      <c r="N7" s="234"/>
      <c r="O7" s="1026"/>
    </row>
    <row r="8" spans="1:15">
      <c r="A8">
        <v>254</v>
      </c>
      <c r="B8" s="1025">
        <v>43952</v>
      </c>
      <c r="C8" s="234"/>
      <c r="D8" s="234"/>
      <c r="E8" s="234"/>
      <c r="F8" s="234"/>
      <c r="G8" s="234"/>
      <c r="H8" s="234"/>
      <c r="I8" s="1026"/>
      <c r="N8" s="234"/>
      <c r="O8" s="1026"/>
    </row>
    <row r="9" spans="1:15">
      <c r="A9">
        <v>210</v>
      </c>
      <c r="B9" s="1025">
        <v>43952</v>
      </c>
      <c r="C9" s="234"/>
      <c r="D9" s="234"/>
      <c r="E9" s="234"/>
      <c r="F9" s="234"/>
      <c r="G9" s="234"/>
      <c r="H9" s="234"/>
      <c r="I9" s="1026"/>
      <c r="N9" s="234"/>
      <c r="O9" s="1026"/>
    </row>
    <row r="10" spans="1:15">
      <c r="A10">
        <v>258</v>
      </c>
      <c r="B10" s="1025">
        <v>44013</v>
      </c>
      <c r="C10" s="234"/>
      <c r="D10" s="234"/>
      <c r="E10" s="234"/>
      <c r="F10" s="234"/>
      <c r="G10" s="234"/>
      <c r="H10" s="234"/>
      <c r="I10" s="1026"/>
    </row>
    <row r="11" spans="1:15">
      <c r="A11">
        <v>247</v>
      </c>
      <c r="B11" s="1025">
        <v>44013</v>
      </c>
      <c r="C11" s="234"/>
      <c r="D11" s="234"/>
      <c r="E11" s="234"/>
      <c r="F11" s="234"/>
      <c r="G11" s="234"/>
      <c r="H11" s="234"/>
      <c r="I11" s="1026"/>
    </row>
    <row r="12" spans="1:15">
      <c r="A12">
        <v>248</v>
      </c>
      <c r="B12" s="1025">
        <v>44013</v>
      </c>
      <c r="C12" s="234"/>
      <c r="D12" s="234"/>
      <c r="E12" s="234"/>
      <c r="F12" s="234"/>
      <c r="G12" s="234"/>
      <c r="H12" s="234"/>
      <c r="I12" s="1027"/>
    </row>
    <row r="13" spans="1:15">
      <c r="A13">
        <v>209</v>
      </c>
      <c r="B13" s="1025">
        <v>44013</v>
      </c>
      <c r="C13" s="234"/>
      <c r="D13" s="234"/>
      <c r="E13" s="234"/>
      <c r="F13" s="234"/>
      <c r="G13" s="234"/>
      <c r="H13" s="234"/>
      <c r="I13" s="1026"/>
    </row>
    <row r="14" spans="1:15">
      <c r="A14">
        <v>207</v>
      </c>
      <c r="B14" s="1025">
        <v>44013</v>
      </c>
      <c r="C14" s="234"/>
      <c r="D14" s="234"/>
      <c r="E14" s="234"/>
      <c r="F14" s="234"/>
      <c r="G14" s="234"/>
      <c r="H14" s="234"/>
      <c r="I14" s="1026"/>
    </row>
    <row r="15" spans="1:15">
      <c r="A15">
        <v>249</v>
      </c>
      <c r="B15" s="1025">
        <v>44013</v>
      </c>
      <c r="C15" s="234"/>
      <c r="D15" s="234"/>
      <c r="E15" s="234"/>
      <c r="F15" s="234"/>
      <c r="G15" s="234"/>
      <c r="H15" s="234"/>
      <c r="I15" s="1026"/>
    </row>
    <row r="16" spans="1:15">
      <c r="A16">
        <v>237</v>
      </c>
      <c r="B16" s="1025">
        <v>44013</v>
      </c>
      <c r="C16" s="234"/>
      <c r="D16" s="234"/>
      <c r="E16" s="234"/>
      <c r="F16" s="234"/>
      <c r="G16" s="234"/>
      <c r="H16" s="234"/>
      <c r="I16" s="1027"/>
    </row>
    <row r="17" spans="1:10">
      <c r="A17">
        <v>246</v>
      </c>
      <c r="B17" s="1025">
        <v>44013</v>
      </c>
      <c r="C17" s="234"/>
      <c r="D17" s="234"/>
      <c r="E17" s="234"/>
      <c r="F17" s="234"/>
      <c r="G17" s="234"/>
      <c r="H17" s="234"/>
      <c r="I17" s="1026"/>
    </row>
    <row r="18" spans="1:10">
      <c r="A18">
        <v>238</v>
      </c>
      <c r="B18" s="1025">
        <v>44013</v>
      </c>
      <c r="C18" s="234"/>
      <c r="D18" s="234"/>
      <c r="E18" s="234"/>
      <c r="F18" s="234"/>
      <c r="G18" s="234"/>
      <c r="H18" s="234"/>
      <c r="I18" s="1026"/>
    </row>
    <row r="19" spans="1:10">
      <c r="A19">
        <v>240</v>
      </c>
      <c r="B19" s="1025">
        <v>44013</v>
      </c>
      <c r="C19" s="234"/>
      <c r="D19" s="234"/>
      <c r="E19" s="234"/>
      <c r="F19" s="234"/>
      <c r="G19" s="234"/>
      <c r="H19" s="234"/>
      <c r="I19" s="1026"/>
      <c r="J19" s="234">
        <v>81721407.839354143</v>
      </c>
    </row>
    <row r="20" spans="1:10">
      <c r="A20">
        <v>242</v>
      </c>
      <c r="B20" s="1025">
        <v>44013</v>
      </c>
      <c r="C20" s="234"/>
      <c r="D20" s="234"/>
      <c r="E20" s="234"/>
      <c r="F20" s="234"/>
      <c r="G20" s="234"/>
      <c r="H20" s="234"/>
      <c r="I20" s="1026"/>
    </row>
    <row r="21" spans="1:10">
      <c r="A21">
        <v>245</v>
      </c>
      <c r="B21" s="1025">
        <v>44013</v>
      </c>
      <c r="C21" s="234"/>
      <c r="D21" s="234"/>
      <c r="E21" s="234"/>
      <c r="F21" s="234"/>
      <c r="G21" s="234"/>
      <c r="H21" s="234"/>
      <c r="I21" s="1026"/>
    </row>
    <row r="22" spans="1:10">
      <c r="A22">
        <v>257</v>
      </c>
      <c r="B22" s="1025">
        <v>44013</v>
      </c>
      <c r="C22" s="234"/>
      <c r="D22" s="234"/>
      <c r="E22" s="234"/>
      <c r="F22" s="234"/>
      <c r="G22" s="234"/>
      <c r="H22" s="234"/>
      <c r="I22" s="1026"/>
    </row>
    <row r="23" spans="1:10">
      <c r="A23">
        <v>239</v>
      </c>
      <c r="B23" s="1025">
        <v>44013</v>
      </c>
      <c r="C23" s="234"/>
      <c r="D23" s="234"/>
      <c r="E23" s="234"/>
      <c r="F23" s="234"/>
      <c r="G23" s="234"/>
      <c r="H23" s="234"/>
      <c r="I23" s="1026"/>
    </row>
    <row r="24" spans="1:10">
      <c r="A24">
        <v>232</v>
      </c>
      <c r="B24" s="1025">
        <v>44075</v>
      </c>
      <c r="C24" s="234"/>
      <c r="D24" s="234"/>
      <c r="E24" s="234"/>
      <c r="F24" s="234"/>
      <c r="G24" s="234"/>
      <c r="H24" s="234"/>
      <c r="I24" s="1026"/>
    </row>
    <row r="25" spans="1:10">
      <c r="A25">
        <v>222</v>
      </c>
      <c r="B25" s="1025">
        <v>44075</v>
      </c>
      <c r="C25" s="234"/>
      <c r="D25" s="234"/>
      <c r="E25" s="234"/>
      <c r="F25" s="234"/>
      <c r="G25" s="234"/>
      <c r="H25" s="234"/>
      <c r="I25" s="1026"/>
    </row>
    <row r="26" spans="1:10">
      <c r="A26">
        <v>202</v>
      </c>
      <c r="B26" s="1025">
        <v>44075</v>
      </c>
      <c r="C26" s="234"/>
      <c r="D26" s="234"/>
      <c r="E26" s="234"/>
      <c r="F26" s="234"/>
      <c r="G26" s="234"/>
      <c r="H26" s="234"/>
      <c r="I26" s="1026"/>
    </row>
    <row r="27" spans="1:10">
      <c r="A27">
        <v>260</v>
      </c>
      <c r="B27" s="1025">
        <v>44075</v>
      </c>
      <c r="C27" s="234"/>
      <c r="D27" s="234"/>
      <c r="E27" s="234"/>
      <c r="F27" s="234"/>
      <c r="G27" s="234"/>
      <c r="H27" s="234"/>
      <c r="I27" s="1026"/>
    </row>
    <row r="28" spans="1:10">
      <c r="A28">
        <v>230</v>
      </c>
      <c r="B28" s="1025">
        <v>44075</v>
      </c>
      <c r="C28" s="234"/>
      <c r="D28" s="234"/>
      <c r="E28" s="234"/>
      <c r="F28" s="234"/>
      <c r="G28" s="234"/>
      <c r="H28" s="234"/>
      <c r="I28" s="1026"/>
    </row>
    <row r="29" spans="1:10">
      <c r="A29">
        <v>221</v>
      </c>
      <c r="B29" s="1025">
        <v>44075</v>
      </c>
      <c r="C29" s="234"/>
      <c r="D29" s="234"/>
      <c r="E29" s="234"/>
      <c r="F29" s="234"/>
      <c r="G29" s="234"/>
      <c r="H29" s="234"/>
      <c r="I29" s="1026"/>
    </row>
    <row r="30" spans="1:10">
      <c r="A30">
        <v>218</v>
      </c>
      <c r="B30" s="1025">
        <v>44075</v>
      </c>
      <c r="C30" s="234"/>
      <c r="D30" s="234"/>
      <c r="E30" s="234"/>
      <c r="F30" s="234"/>
      <c r="G30" s="234"/>
      <c r="H30" s="234"/>
      <c r="I30" s="1026"/>
    </row>
    <row r="31" spans="1:10">
      <c r="A31">
        <v>261</v>
      </c>
      <c r="B31" s="1025">
        <v>44075</v>
      </c>
      <c r="C31" s="234"/>
      <c r="D31" s="234"/>
      <c r="E31" s="234"/>
      <c r="F31" s="234"/>
      <c r="G31" s="234"/>
      <c r="H31" s="234"/>
      <c r="I31" s="1026"/>
    </row>
    <row r="32" spans="1:10">
      <c r="A32">
        <v>262</v>
      </c>
      <c r="B32" s="1025">
        <v>44075</v>
      </c>
      <c r="C32" s="234"/>
      <c r="D32" s="234"/>
      <c r="E32" s="234"/>
      <c r="F32" s="234"/>
      <c r="G32" s="234"/>
      <c r="H32" s="234"/>
      <c r="I32" s="1026"/>
    </row>
    <row r="33" spans="1:9">
      <c r="A33">
        <v>227</v>
      </c>
      <c r="B33" s="1025">
        <v>44075</v>
      </c>
      <c r="C33" s="234"/>
      <c r="D33" s="234"/>
      <c r="E33" s="234"/>
      <c r="F33" s="234"/>
      <c r="G33" s="234"/>
      <c r="H33" s="234"/>
      <c r="I33" s="1026"/>
    </row>
    <row r="34" spans="1:9">
      <c r="A34">
        <v>231</v>
      </c>
      <c r="B34" s="1025">
        <v>44075</v>
      </c>
      <c r="C34" s="234"/>
      <c r="D34" s="234"/>
      <c r="E34" s="234"/>
      <c r="F34" s="234"/>
      <c r="G34" s="234"/>
      <c r="H34" s="234"/>
      <c r="I34" s="1026"/>
    </row>
    <row r="35" spans="1:9">
      <c r="A35">
        <v>216</v>
      </c>
      <c r="B35" s="1025">
        <v>44075</v>
      </c>
      <c r="C35" s="234"/>
      <c r="D35" s="234"/>
      <c r="E35" s="234"/>
      <c r="F35" s="234"/>
      <c r="G35" s="234"/>
      <c r="H35" s="234"/>
      <c r="I35" s="1026"/>
    </row>
    <row r="36" spans="1:9">
      <c r="A36">
        <v>229</v>
      </c>
      <c r="B36" s="1025">
        <v>44075</v>
      </c>
      <c r="C36" s="234"/>
      <c r="D36" s="234"/>
      <c r="E36" s="234"/>
      <c r="F36" s="234"/>
      <c r="G36" s="234"/>
      <c r="H36" s="234"/>
      <c r="I36" s="1026"/>
    </row>
    <row r="37" spans="1:9">
      <c r="A37">
        <v>215</v>
      </c>
      <c r="B37" s="1025">
        <v>44075</v>
      </c>
      <c r="C37" s="234"/>
      <c r="D37" s="234"/>
      <c r="E37" s="234"/>
      <c r="F37" s="234"/>
      <c r="G37" s="234"/>
      <c r="H37" s="234"/>
      <c r="I37" s="1026"/>
    </row>
    <row r="38" spans="1:9">
      <c r="A38">
        <v>224</v>
      </c>
      <c r="B38" s="1025">
        <v>44075</v>
      </c>
      <c r="C38" s="234"/>
      <c r="D38" s="234"/>
      <c r="E38" s="234"/>
      <c r="F38" s="234"/>
      <c r="G38" s="234"/>
      <c r="H38" s="234"/>
      <c r="I38" s="1026"/>
    </row>
    <row r="39" spans="1:9">
      <c r="A39">
        <v>226</v>
      </c>
      <c r="B39" s="1025">
        <v>44075</v>
      </c>
      <c r="C39" s="234"/>
      <c r="D39" s="234"/>
      <c r="E39" s="234"/>
      <c r="F39" s="234"/>
      <c r="G39" s="234"/>
      <c r="H39" s="234"/>
      <c r="I39" s="1026"/>
    </row>
    <row r="40" spans="1:9">
      <c r="A40">
        <v>234</v>
      </c>
      <c r="B40" s="1025">
        <v>44075</v>
      </c>
      <c r="C40" s="234"/>
      <c r="D40" s="234"/>
      <c r="E40" s="234"/>
      <c r="F40" s="234"/>
      <c r="G40" s="234"/>
      <c r="H40" s="234"/>
      <c r="I40" s="1026"/>
    </row>
    <row r="41" spans="1:9">
      <c r="A41">
        <v>223</v>
      </c>
      <c r="B41" s="1025">
        <v>44075</v>
      </c>
      <c r="C41" s="234"/>
      <c r="D41" s="234"/>
      <c r="E41" s="234"/>
      <c r="F41" s="234"/>
      <c r="G41" s="234"/>
      <c r="H41" s="234"/>
      <c r="I41" s="1026"/>
    </row>
    <row r="42" spans="1:9">
      <c r="A42">
        <v>225</v>
      </c>
      <c r="B42" s="1025">
        <v>44075</v>
      </c>
      <c r="C42" s="234"/>
      <c r="D42" s="234"/>
      <c r="E42" s="234"/>
      <c r="F42" s="234"/>
      <c r="G42" s="234"/>
      <c r="H42" s="234"/>
      <c r="I42" s="1026"/>
    </row>
    <row r="43" spans="1:9">
      <c r="A43">
        <v>228</v>
      </c>
      <c r="B43" s="1025">
        <v>44075</v>
      </c>
      <c r="C43" s="234"/>
      <c r="D43" s="234"/>
      <c r="E43" s="234"/>
      <c r="F43" s="234"/>
      <c r="G43" s="234"/>
      <c r="H43" s="234"/>
      <c r="I43" s="1026"/>
    </row>
    <row r="44" spans="1:9">
      <c r="A44">
        <v>220</v>
      </c>
      <c r="B44" s="1025">
        <v>44075</v>
      </c>
      <c r="C44" s="234"/>
      <c r="D44" s="234"/>
      <c r="E44" s="234"/>
      <c r="F44" s="234"/>
      <c r="G44" s="234"/>
      <c r="H44" s="234"/>
      <c r="I44" s="1026"/>
    </row>
    <row r="45" spans="1:9">
      <c r="A45">
        <v>201</v>
      </c>
      <c r="B45" s="1025">
        <v>44136</v>
      </c>
      <c r="C45" s="234"/>
      <c r="D45" s="234"/>
      <c r="E45" s="234"/>
      <c r="F45" s="234"/>
      <c r="G45" s="234"/>
      <c r="H45" s="234"/>
      <c r="I45" s="1026"/>
    </row>
    <row r="46" spans="1:9">
      <c r="A46">
        <v>213</v>
      </c>
      <c r="B46" s="1025">
        <v>44136</v>
      </c>
      <c r="C46" s="234"/>
      <c r="D46" s="234"/>
      <c r="E46" s="234"/>
      <c r="F46" s="234"/>
      <c r="G46" s="234"/>
      <c r="H46" s="234"/>
      <c r="I46" s="1026"/>
    </row>
    <row r="47" spans="1:9">
      <c r="A47">
        <v>219</v>
      </c>
      <c r="B47" s="1025">
        <v>44136</v>
      </c>
      <c r="C47" s="234"/>
      <c r="D47" s="234"/>
      <c r="E47" s="234"/>
      <c r="F47" s="234"/>
      <c r="G47" s="234"/>
      <c r="H47" s="234"/>
      <c r="I47" s="1026"/>
    </row>
    <row r="48" spans="1:9">
      <c r="A48">
        <v>205</v>
      </c>
      <c r="B48" s="1025">
        <v>44136</v>
      </c>
      <c r="C48" s="234"/>
      <c r="D48" s="234"/>
      <c r="E48" s="234"/>
      <c r="F48" s="234"/>
      <c r="G48" s="234"/>
      <c r="H48" s="234"/>
      <c r="I48" s="1026"/>
    </row>
    <row r="49" spans="1:10">
      <c r="A49">
        <v>208</v>
      </c>
      <c r="B49" s="1025">
        <v>44136</v>
      </c>
      <c r="C49" s="234"/>
      <c r="D49" s="234"/>
      <c r="E49" s="234"/>
      <c r="F49" s="234"/>
      <c r="G49" s="234"/>
      <c r="H49" s="234"/>
      <c r="I49" s="1026"/>
    </row>
    <row r="50" spans="1:10">
      <c r="A50">
        <v>263</v>
      </c>
      <c r="B50" s="1025">
        <v>44166</v>
      </c>
      <c r="C50" s="234"/>
      <c r="D50" s="234"/>
      <c r="F50" s="234"/>
      <c r="G50" s="234"/>
      <c r="H50" s="234"/>
      <c r="I50" s="1026"/>
      <c r="J50" s="234">
        <v>5389974.3136365721</v>
      </c>
    </row>
    <row r="51" spans="1:10">
      <c r="A51">
        <v>217</v>
      </c>
      <c r="B51" s="1025">
        <v>44166</v>
      </c>
      <c r="C51" s="234"/>
      <c r="D51" s="234"/>
      <c r="E51" s="234"/>
      <c r="F51" s="234"/>
      <c r="G51" s="234"/>
      <c r="H51" s="234"/>
      <c r="I51" s="1026"/>
      <c r="J51" s="234"/>
    </row>
    <row r="52" spans="1:10">
      <c r="A52">
        <v>264</v>
      </c>
      <c r="B52" s="1025">
        <v>44166</v>
      </c>
      <c r="C52" s="234"/>
      <c r="D52" s="234"/>
      <c r="F52" s="234"/>
      <c r="G52" s="234"/>
      <c r="H52" s="234"/>
      <c r="I52" s="1026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M76"/>
  <sheetViews>
    <sheetView topLeftCell="A10" workbookViewId="0">
      <selection activeCell="C12" sqref="C12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5.5703125" style="68" customWidth="1"/>
    <col min="36" max="36" width="36.140625" style="68" customWidth="1"/>
    <col min="37" max="37" width="9.140625" style="68"/>
    <col min="38" max="38" width="23.42578125" style="74" customWidth="1"/>
    <col min="39" max="39" width="30" style="68" customWidth="1"/>
    <col min="40" max="16384" width="9.140625" style="68"/>
  </cols>
  <sheetData>
    <row r="1" spans="2:39" ht="24.75" customHeight="1">
      <c r="B1" s="1061" t="s">
        <v>12</v>
      </c>
      <c r="C1" s="1062"/>
      <c r="D1" s="1062"/>
      <c r="E1" s="1063" t="s">
        <v>13</v>
      </c>
      <c r="F1" s="1064">
        <f ca="1">LnkTXTIRTEco</f>
        <v>0.21260000000000001</v>
      </c>
    </row>
    <row r="2" spans="2:39" ht="28.5" customHeight="1">
      <c r="B2" s="138" t="str">
        <f>CAPA!C9</f>
        <v>Cercos</v>
      </c>
      <c r="C2" s="70"/>
      <c r="D2" s="70"/>
      <c r="E2" s="84" t="s">
        <v>14</v>
      </c>
      <c r="F2" s="85">
        <f ca="1">LnkTXTIRTTotal</f>
        <v>8.3900000000000002E-2</v>
      </c>
      <c r="M2" s="86"/>
      <c r="N2" s="87"/>
      <c r="AA2" s="922"/>
      <c r="AB2" s="1024"/>
      <c r="AC2" s="922"/>
      <c r="AD2" s="922"/>
    </row>
    <row r="3" spans="2:39" ht="21" customHeight="1">
      <c r="B3" s="1065" t="s">
        <v>15</v>
      </c>
      <c r="C3" s="831"/>
      <c r="I3" s="1065" t="s">
        <v>16</v>
      </c>
    </row>
    <row r="4" spans="2:39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39" ht="16.5" customHeight="1">
      <c r="B5" s="1066" t="s">
        <v>17</v>
      </c>
      <c r="C5" s="1067">
        <v>10718.416000000001</v>
      </c>
      <c r="D5" s="1680" t="s">
        <v>18</v>
      </c>
      <c r="E5" s="91"/>
      <c r="F5" s="72"/>
      <c r="G5" s="72"/>
      <c r="H5" s="72" t="s">
        <v>19</v>
      </c>
      <c r="I5" s="494" t="s">
        <v>20</v>
      </c>
      <c r="J5" s="494" t="s">
        <v>21</v>
      </c>
      <c r="K5" s="494"/>
      <c r="L5" s="494" t="s">
        <v>22</v>
      </c>
      <c r="M5" s="494" t="s">
        <v>23</v>
      </c>
      <c r="N5" s="494" t="s">
        <v>24</v>
      </c>
      <c r="O5" s="494"/>
      <c r="P5" s="494"/>
      <c r="Q5" s="494" t="s">
        <v>25</v>
      </c>
      <c r="R5" s="494" t="s">
        <v>26</v>
      </c>
      <c r="S5" s="830" t="s">
        <v>27</v>
      </c>
      <c r="T5" s="494" t="s">
        <v>28</v>
      </c>
      <c r="U5" s="71" t="s">
        <v>29</v>
      </c>
      <c r="V5" s="830" t="s">
        <v>30</v>
      </c>
      <c r="AA5" s="68" t="s">
        <v>31</v>
      </c>
      <c r="AB5" s="68" t="s">
        <v>32</v>
      </c>
      <c r="AC5" s="68" t="s">
        <v>20</v>
      </c>
      <c r="AD5" s="922" t="s">
        <v>33</v>
      </c>
      <c r="AE5" s="922" t="s">
        <v>2213</v>
      </c>
      <c r="AI5" s="987" t="s">
        <v>34</v>
      </c>
      <c r="AJ5" s="987" t="s">
        <v>35</v>
      </c>
      <c r="AL5" s="1005" t="s">
        <v>36</v>
      </c>
      <c r="AM5" s="1005" t="s">
        <v>37</v>
      </c>
    </row>
    <row r="6" spans="2:39" ht="16.5">
      <c r="B6" s="94"/>
      <c r="C6" s="89"/>
      <c r="D6" s="1681"/>
      <c r="E6" s="91"/>
      <c r="F6" s="72"/>
      <c r="G6" s="72"/>
      <c r="H6" s="68" t="str">
        <f>CONCATENATE(W6,J6,L6,O6)</f>
        <v>6587A4Não se aplicaEnergia</v>
      </c>
      <c r="I6" s="1068">
        <v>2022</v>
      </c>
      <c r="J6" s="1069" t="s">
        <v>596</v>
      </c>
      <c r="K6" s="1069" t="s">
        <v>829</v>
      </c>
      <c r="L6" s="1069" t="s">
        <v>1323</v>
      </c>
      <c r="M6" s="1069" t="s">
        <v>371</v>
      </c>
      <c r="N6" s="1069">
        <v>5377</v>
      </c>
      <c r="O6" s="1069" t="s">
        <v>120</v>
      </c>
      <c r="P6" s="1069" t="s">
        <v>830</v>
      </c>
      <c r="Q6" s="1070">
        <v>44673</v>
      </c>
      <c r="R6" s="1070">
        <v>44665</v>
      </c>
      <c r="S6" s="522" t="s">
        <v>194</v>
      </c>
      <c r="T6" s="1070" t="s">
        <v>2239</v>
      </c>
      <c r="U6" s="1069">
        <v>11.15</v>
      </c>
      <c r="V6" s="1069">
        <v>155</v>
      </c>
      <c r="W6" s="68">
        <f>VLOOKUP(V6,DescontosTE[[#All],[idsreag supridora]:[codsariSUP]],2,FALSE)</f>
        <v>6587</v>
      </c>
      <c r="AA6" s="923"/>
      <c r="AB6" s="924"/>
      <c r="AC6" s="923"/>
      <c r="AD6" s="923"/>
      <c r="AE6" s="923"/>
      <c r="AI6" s="1003"/>
      <c r="AJ6" s="1004"/>
      <c r="AL6" s="1006" t="s">
        <v>2265</v>
      </c>
      <c r="AM6" s="1007"/>
    </row>
    <row r="7" spans="2:39" ht="16.5">
      <c r="B7" s="1071" t="s">
        <v>38</v>
      </c>
      <c r="C7" s="1072">
        <v>0</v>
      </c>
      <c r="D7" s="1681"/>
      <c r="E7" s="72"/>
      <c r="F7" s="72"/>
      <c r="G7" s="72"/>
      <c r="H7" s="68" t="str">
        <f t="shared" ref="H7:H30" si="0">CONCATENATE(W7,J7,L7,O7)</f>
        <v>6587A4PontaPotência</v>
      </c>
      <c r="I7" s="520">
        <v>2022</v>
      </c>
      <c r="J7" s="521" t="s">
        <v>596</v>
      </c>
      <c r="K7" s="521" t="s">
        <v>829</v>
      </c>
      <c r="L7" s="521" t="s">
        <v>972</v>
      </c>
      <c r="M7" s="521" t="s">
        <v>371</v>
      </c>
      <c r="N7" s="521">
        <v>5377</v>
      </c>
      <c r="O7" s="521" t="s">
        <v>1322</v>
      </c>
      <c r="P7" s="521" t="s">
        <v>830</v>
      </c>
      <c r="Q7" s="522">
        <v>44673</v>
      </c>
      <c r="R7" s="522">
        <v>44665</v>
      </c>
      <c r="S7" s="522" t="s">
        <v>194</v>
      </c>
      <c r="T7" s="522" t="s">
        <v>2239</v>
      </c>
      <c r="U7" s="521">
        <v>36.25</v>
      </c>
      <c r="V7" s="521">
        <v>155</v>
      </c>
      <c r="W7" s="68">
        <f>VLOOKUP(V7,DescontosTE[[#All],[idsreag supridora]:[codsariSUP]],2,FALSE)</f>
        <v>6587</v>
      </c>
      <c r="AA7" s="923"/>
      <c r="AB7" s="924"/>
      <c r="AC7" s="923"/>
      <c r="AD7" s="923"/>
      <c r="AE7" s="923"/>
      <c r="AI7" s="1003"/>
      <c r="AJ7" s="1004"/>
      <c r="AL7" s="1006" t="s">
        <v>2266</v>
      </c>
      <c r="AM7" s="1007"/>
    </row>
    <row r="8" spans="2:39" ht="16.5">
      <c r="B8" s="94" t="s">
        <v>39</v>
      </c>
      <c r="C8" s="120">
        <v>0</v>
      </c>
      <c r="D8" s="1681"/>
      <c r="E8" s="72"/>
      <c r="F8" s="72"/>
      <c r="G8" s="72"/>
      <c r="H8" s="68" t="str">
        <f t="shared" si="0"/>
        <v>6587A4Fora pontaPotência</v>
      </c>
      <c r="I8" s="520">
        <v>2022</v>
      </c>
      <c r="J8" s="521" t="s">
        <v>596</v>
      </c>
      <c r="K8" s="521" t="s">
        <v>829</v>
      </c>
      <c r="L8" s="521" t="s">
        <v>2237</v>
      </c>
      <c r="M8" s="521" t="s">
        <v>371</v>
      </c>
      <c r="N8" s="521">
        <v>5377</v>
      </c>
      <c r="O8" s="521" t="s">
        <v>1322</v>
      </c>
      <c r="P8" s="521" t="s">
        <v>830</v>
      </c>
      <c r="Q8" s="522">
        <v>44673</v>
      </c>
      <c r="R8" s="522">
        <v>44665</v>
      </c>
      <c r="S8" s="522" t="s">
        <v>194</v>
      </c>
      <c r="T8" s="522" t="s">
        <v>2239</v>
      </c>
      <c r="U8" s="521">
        <v>16.48</v>
      </c>
      <c r="V8" s="521">
        <v>155</v>
      </c>
      <c r="W8" s="68">
        <f>VLOOKUP(V8,DescontosTE[[#All],[idsreag supridora]:[codsariSUP]],2,FALSE)</f>
        <v>6587</v>
      </c>
      <c r="AI8" s="1003"/>
      <c r="AJ8" s="1004"/>
      <c r="AL8" s="1006" t="s">
        <v>2267</v>
      </c>
      <c r="AM8" s="1007"/>
    </row>
    <row r="9" spans="2:39" ht="16.5">
      <c r="B9" s="94" t="s">
        <v>40</v>
      </c>
      <c r="C9" s="120">
        <v>16914.623324865661</v>
      </c>
      <c r="D9" s="1681"/>
      <c r="E9" s="72"/>
      <c r="F9" s="72"/>
      <c r="G9" s="72"/>
      <c r="H9" s="68" t="e">
        <f t="shared" si="0"/>
        <v>#N/A</v>
      </c>
      <c r="I9" s="520"/>
      <c r="J9" s="521"/>
      <c r="K9" s="521"/>
      <c r="L9" s="521"/>
      <c r="M9" s="521"/>
      <c r="N9" s="521"/>
      <c r="O9" s="521"/>
      <c r="P9" s="521"/>
      <c r="Q9" s="522"/>
      <c r="R9" s="522"/>
      <c r="S9" s="522"/>
      <c r="T9" s="522"/>
      <c r="U9" s="521"/>
      <c r="V9" s="521"/>
      <c r="W9" s="68" t="e">
        <f>VLOOKUP(V9,DescontosTE[[#All],[idsreag supridora]:[codsariSUP]],2,FALSE)</f>
        <v>#N/A</v>
      </c>
      <c r="AI9" s="1003"/>
      <c r="AJ9" s="1004"/>
      <c r="AL9" s="1006" t="s">
        <v>2268</v>
      </c>
      <c r="AM9" s="1007"/>
    </row>
    <row r="10" spans="2:39" ht="16.5">
      <c r="B10" s="94" t="s">
        <v>41</v>
      </c>
      <c r="C10" s="120">
        <v>196106.30220000001</v>
      </c>
      <c r="D10" s="1681"/>
      <c r="H10" s="68" t="e">
        <f t="shared" si="0"/>
        <v>#N/A</v>
      </c>
      <c r="I10" s="520"/>
      <c r="J10" s="521"/>
      <c r="K10" s="521"/>
      <c r="L10" s="521"/>
      <c r="M10" s="521"/>
      <c r="N10" s="521"/>
      <c r="O10" s="521"/>
      <c r="P10" s="521"/>
      <c r="Q10" s="522"/>
      <c r="R10" s="522"/>
      <c r="S10" s="522"/>
      <c r="T10" s="522"/>
      <c r="U10" s="521"/>
      <c r="V10" s="521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928" t="s">
        <v>45</v>
      </c>
      <c r="AI10" s="1003"/>
      <c r="AJ10" s="1004"/>
      <c r="AL10" s="1006" t="s">
        <v>2269</v>
      </c>
      <c r="AM10" s="1007"/>
    </row>
    <row r="11" spans="2:39" ht="16.5">
      <c r="B11" s="94" t="s">
        <v>46</v>
      </c>
      <c r="C11" s="120">
        <v>0</v>
      </c>
      <c r="D11" s="1681"/>
      <c r="H11" s="68" t="e">
        <f t="shared" si="0"/>
        <v>#N/A</v>
      </c>
      <c r="I11" s="520"/>
      <c r="J11" s="521"/>
      <c r="K11" s="521"/>
      <c r="L11" s="521"/>
      <c r="M11" s="521"/>
      <c r="N11" s="521"/>
      <c r="O11" s="521"/>
      <c r="P11" s="521"/>
      <c r="Q11" s="522"/>
      <c r="R11" s="522"/>
      <c r="S11" s="522"/>
      <c r="T11" s="522"/>
      <c r="U11" s="521"/>
      <c r="V11" s="521"/>
      <c r="W11" s="68" t="e">
        <f>VLOOKUP(V11,DescontosTE[[#All],[idsreag supridora]:[codsariSUP]],2,FALSE)</f>
        <v>#N/A</v>
      </c>
      <c r="AA11" s="923">
        <v>0.88508330000000002</v>
      </c>
      <c r="AB11" s="924">
        <v>169.95</v>
      </c>
      <c r="AC11" s="923">
        <v>14739.74</v>
      </c>
      <c r="AD11" s="923"/>
      <c r="AI11" s="1003"/>
      <c r="AJ11" s="1004"/>
      <c r="AL11" s="1006" t="s">
        <v>2270</v>
      </c>
      <c r="AM11" s="1007"/>
    </row>
    <row r="12" spans="2:39" ht="16.5">
      <c r="B12" s="94" t="s">
        <v>47</v>
      </c>
      <c r="C12" s="120">
        <v>80404.590640000009</v>
      </c>
      <c r="D12" s="1681"/>
      <c r="H12" s="68" t="e">
        <f t="shared" si="0"/>
        <v>#N/A</v>
      </c>
      <c r="I12" s="520"/>
      <c r="J12" s="521"/>
      <c r="K12" s="521"/>
      <c r="L12" s="521"/>
      <c r="M12" s="521"/>
      <c r="N12" s="521"/>
      <c r="O12" s="521"/>
      <c r="P12" s="521"/>
      <c r="Q12" s="522"/>
      <c r="R12" s="522"/>
      <c r="S12" s="522"/>
      <c r="T12" s="522"/>
      <c r="U12" s="521"/>
      <c r="V12" s="521"/>
      <c r="W12" s="68" t="e">
        <f>VLOOKUP(V12,DescontosTE[[#All],[idsreag supridora]:[codsariSUP]],2,FALSE)</f>
        <v>#N/A</v>
      </c>
      <c r="AI12" s="1003"/>
      <c r="AJ12" s="1004"/>
      <c r="AL12" s="1006" t="s">
        <v>2271</v>
      </c>
      <c r="AM12" s="1007"/>
    </row>
    <row r="13" spans="2:39" ht="16.5">
      <c r="B13" s="94" t="s">
        <v>48</v>
      </c>
      <c r="C13" s="120">
        <v>0</v>
      </c>
      <c r="D13" s="1681"/>
      <c r="H13" s="68" t="e">
        <f t="shared" si="0"/>
        <v>#N/A</v>
      </c>
      <c r="I13" s="520"/>
      <c r="J13" s="521"/>
      <c r="K13" s="521"/>
      <c r="L13" s="521"/>
      <c r="M13" s="521"/>
      <c r="N13" s="521"/>
      <c r="O13" s="521"/>
      <c r="P13" s="521"/>
      <c r="Q13" s="522"/>
      <c r="R13" s="522"/>
      <c r="S13" s="522"/>
      <c r="T13" s="522"/>
      <c r="U13" s="521"/>
      <c r="V13" s="521"/>
      <c r="W13" s="68" t="e">
        <f>VLOOKUP(V13,DescontosTE[[#All],[idsreag supridora]:[codsariSUP]],2,FALSE)</f>
        <v>#N/A</v>
      </c>
      <c r="AI13" s="1003"/>
      <c r="AJ13" s="1004"/>
      <c r="AL13" s="1006" t="s">
        <v>2272</v>
      </c>
      <c r="AM13" s="1007"/>
    </row>
    <row r="14" spans="2:39" ht="16.5">
      <c r="B14" s="94" t="s">
        <v>49</v>
      </c>
      <c r="C14" s="120">
        <v>0</v>
      </c>
      <c r="D14" s="1681"/>
      <c r="H14" s="68" t="e">
        <f t="shared" si="0"/>
        <v>#N/A</v>
      </c>
      <c r="I14" s="520"/>
      <c r="J14" s="521"/>
      <c r="K14" s="521"/>
      <c r="L14" s="521"/>
      <c r="M14" s="521"/>
      <c r="N14" s="521"/>
      <c r="O14" s="521"/>
      <c r="P14" s="521"/>
      <c r="Q14" s="522"/>
      <c r="R14" s="522"/>
      <c r="S14" s="522"/>
      <c r="T14" s="522"/>
      <c r="U14" s="521"/>
      <c r="V14" s="521"/>
      <c r="W14" s="68" t="e">
        <f>VLOOKUP(V14,DescontosTE[[#All],[idsreag supridora]:[codsariSUP]],2,FALSE)</f>
        <v>#N/A</v>
      </c>
      <c r="AA14" s="846"/>
      <c r="AB14" s="846"/>
      <c r="AC14" s="846"/>
      <c r="AI14" s="1003"/>
      <c r="AJ14" s="1004"/>
      <c r="AL14" s="1006" t="s">
        <v>2273</v>
      </c>
      <c r="AM14" s="1007"/>
    </row>
    <row r="15" spans="2:39" ht="16.5">
      <c r="B15" s="1073" t="s">
        <v>2214</v>
      </c>
      <c r="C15" s="1074"/>
      <c r="D15" s="1681"/>
      <c r="F15" s="93"/>
      <c r="H15" s="68" t="e">
        <f t="shared" si="0"/>
        <v>#N/A</v>
      </c>
      <c r="I15" s="520"/>
      <c r="J15" s="521"/>
      <c r="K15" s="521"/>
      <c r="L15" s="521"/>
      <c r="M15" s="521"/>
      <c r="N15" s="521"/>
      <c r="O15" s="521"/>
      <c r="P15" s="521"/>
      <c r="Q15" s="522"/>
      <c r="R15" s="522"/>
      <c r="S15" s="522"/>
      <c r="T15" s="522"/>
      <c r="U15" s="521"/>
      <c r="V15" s="521"/>
      <c r="W15" s="68" t="e">
        <f>VLOOKUP(V15,DescontosTE[[#All],[idsreag supridora]:[codsariSUP]],2,FALSE)</f>
        <v>#N/A</v>
      </c>
      <c r="AA15" s="1009" t="s">
        <v>122</v>
      </c>
      <c r="AB15" s="1009" t="s">
        <v>977</v>
      </c>
      <c r="AC15" s="846"/>
      <c r="AI15" s="1003"/>
      <c r="AJ15" s="1004"/>
      <c r="AL15" s="1006"/>
      <c r="AM15" s="1007"/>
    </row>
    <row r="16" spans="2:39" ht="16.5">
      <c r="D16" s="1681"/>
      <c r="F16" s="93"/>
      <c r="H16" s="68" t="e">
        <f t="shared" si="0"/>
        <v>#N/A</v>
      </c>
      <c r="I16" s="520"/>
      <c r="J16" s="521"/>
      <c r="K16" s="521"/>
      <c r="L16" s="521"/>
      <c r="M16" s="521"/>
      <c r="N16" s="521"/>
      <c r="O16" s="521"/>
      <c r="P16" s="521"/>
      <c r="Q16" s="522"/>
      <c r="R16" s="522"/>
      <c r="S16" s="522"/>
      <c r="T16" s="522"/>
      <c r="U16" s="521"/>
      <c r="V16" s="521"/>
      <c r="W16" s="68" t="e">
        <f>VLOOKUP(V16,DescontosTE[[#All],[idsreag supridora]:[codsariSUP]],2,FALSE)</f>
        <v>#N/A</v>
      </c>
      <c r="AA16" s="923">
        <v>2022</v>
      </c>
      <c r="AB16" s="924">
        <v>158.70614807366212</v>
      </c>
      <c r="AC16" s="922"/>
      <c r="AD16" s="922"/>
      <c r="AI16" s="1003"/>
      <c r="AJ16" s="1004"/>
      <c r="AL16" s="1006"/>
      <c r="AM16" s="1007"/>
    </row>
    <row r="17" spans="2:39" ht="16.5">
      <c r="B17" s="1066" t="s">
        <v>50</v>
      </c>
      <c r="C17" s="1075"/>
      <c r="D17" s="1681"/>
      <c r="F17" s="93"/>
      <c r="H17" s="68" t="e">
        <f t="shared" si="0"/>
        <v>#N/A</v>
      </c>
      <c r="I17" s="520"/>
      <c r="J17" s="521"/>
      <c r="K17" s="521"/>
      <c r="L17" s="521"/>
      <c r="M17" s="521"/>
      <c r="N17" s="521"/>
      <c r="O17" s="521"/>
      <c r="P17" s="521"/>
      <c r="Q17" s="522"/>
      <c r="R17" s="522"/>
      <c r="S17" s="522"/>
      <c r="T17" s="522"/>
      <c r="U17" s="521"/>
      <c r="V17" s="521"/>
      <c r="W17" s="68" t="e">
        <f>VLOOKUP(V17,DescontosTE[[#All],[idsreag supridora]:[codsariSUP]],2,FALSE)</f>
        <v>#N/A</v>
      </c>
      <c r="AI17" s="1003"/>
      <c r="AJ17" s="1004"/>
      <c r="AL17" s="929"/>
      <c r="AM17" s="924"/>
    </row>
    <row r="18" spans="2:39" ht="16.5">
      <c r="B18" s="94" t="s">
        <v>51</v>
      </c>
      <c r="C18" s="120">
        <v>0</v>
      </c>
      <c r="D18" s="1681"/>
      <c r="F18" s="93"/>
      <c r="H18" s="68" t="e">
        <f t="shared" si="0"/>
        <v>#N/A</v>
      </c>
      <c r="I18" s="520"/>
      <c r="J18" s="521"/>
      <c r="K18" s="521"/>
      <c r="L18" s="521"/>
      <c r="M18" s="521"/>
      <c r="N18" s="521"/>
      <c r="O18" s="521"/>
      <c r="P18" s="521"/>
      <c r="Q18" s="522"/>
      <c r="R18" s="522"/>
      <c r="S18" s="522"/>
      <c r="T18" s="522"/>
      <c r="U18" s="521"/>
      <c r="V18" s="521"/>
      <c r="W18" s="68" t="e">
        <f>VLOOKUP(V18,DescontosTE[[#All],[idsreag supridora]:[codsariSUP]],2,FALSE)</f>
        <v>#N/A</v>
      </c>
      <c r="AI18" s="1003"/>
      <c r="AJ18" s="1004"/>
      <c r="AL18" s="929"/>
      <c r="AM18" s="924"/>
    </row>
    <row r="19" spans="2:39" ht="16.5">
      <c r="B19" s="94" t="s">
        <v>52</v>
      </c>
      <c r="C19" s="120">
        <v>0</v>
      </c>
      <c r="D19" s="1681"/>
      <c r="F19" s="93"/>
      <c r="H19" s="68" t="e">
        <f t="shared" si="0"/>
        <v>#N/A</v>
      </c>
      <c r="I19" s="520"/>
      <c r="J19" s="521"/>
      <c r="K19" s="521"/>
      <c r="L19" s="521"/>
      <c r="M19" s="521"/>
      <c r="N19" s="521"/>
      <c r="O19" s="521"/>
      <c r="P19" s="521"/>
      <c r="Q19" s="522"/>
      <c r="R19" s="522"/>
      <c r="S19" s="522"/>
      <c r="T19" s="522"/>
      <c r="U19" s="521"/>
      <c r="V19" s="521"/>
      <c r="W19" s="68" t="e">
        <f>VLOOKUP(V19,DescontosTE[[#All],[idsreag supridora]:[codsariSUP]],2,FALSE)</f>
        <v>#N/A</v>
      </c>
      <c r="AI19" s="1003"/>
      <c r="AJ19" s="1004"/>
    </row>
    <row r="20" spans="2:39" ht="16.5">
      <c r="B20" s="94" t="s">
        <v>53</v>
      </c>
      <c r="C20" s="120"/>
      <c r="D20" s="1681"/>
      <c r="F20" s="93"/>
      <c r="H20" s="68" t="e">
        <f t="shared" si="0"/>
        <v>#N/A</v>
      </c>
      <c r="I20" s="520"/>
      <c r="J20" s="521"/>
      <c r="K20" s="521"/>
      <c r="L20" s="521"/>
      <c r="M20" s="521"/>
      <c r="N20" s="521"/>
      <c r="O20" s="521"/>
      <c r="P20" s="521"/>
      <c r="Q20" s="522"/>
      <c r="R20" s="522"/>
      <c r="S20" s="522"/>
      <c r="T20" s="522"/>
      <c r="U20" s="521"/>
      <c r="V20" s="521"/>
      <c r="W20" s="68" t="e">
        <f>VLOOKUP(V20,DescontosTE[[#All],[idsreag supridora]:[codsariSUP]],2,FALSE)</f>
        <v>#N/A</v>
      </c>
      <c r="AA20" s="925" t="s">
        <v>54</v>
      </c>
      <c r="AB20" s="925"/>
      <c r="AC20" s="926"/>
      <c r="AD20" s="926"/>
      <c r="AE20" s="926"/>
      <c r="AF20" s="926"/>
      <c r="AG20" s="927"/>
      <c r="AI20" s="929"/>
      <c r="AJ20" s="924"/>
    </row>
    <row r="21" spans="2:39" ht="16.5">
      <c r="B21" s="94" t="s">
        <v>55</v>
      </c>
      <c r="C21" s="120"/>
      <c r="D21" s="1681"/>
      <c r="F21" s="93"/>
      <c r="H21" s="68" t="e">
        <f t="shared" si="0"/>
        <v>#N/A</v>
      </c>
      <c r="I21" s="520"/>
      <c r="J21" s="521"/>
      <c r="K21" s="521"/>
      <c r="L21" s="521"/>
      <c r="M21" s="521"/>
      <c r="N21" s="521"/>
      <c r="O21" s="521"/>
      <c r="P21" s="521"/>
      <c r="Q21" s="522"/>
      <c r="R21" s="522"/>
      <c r="S21" s="522"/>
      <c r="T21" s="522"/>
      <c r="U21" s="521"/>
      <c r="V21" s="521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39" ht="16.5">
      <c r="B22" s="94" t="s">
        <v>63</v>
      </c>
      <c r="C22" s="120"/>
      <c r="D22" s="1681"/>
      <c r="H22" s="68" t="e">
        <f t="shared" si="0"/>
        <v>#N/A</v>
      </c>
      <c r="I22" s="520"/>
      <c r="J22" s="521"/>
      <c r="K22" s="521"/>
      <c r="L22" s="521"/>
      <c r="M22" s="521"/>
      <c r="N22" s="521"/>
      <c r="O22" s="521"/>
      <c r="P22" s="521"/>
      <c r="Q22" s="522"/>
      <c r="R22" s="522"/>
      <c r="S22" s="522"/>
      <c r="T22" s="522"/>
      <c r="U22" s="521"/>
      <c r="V22" s="521"/>
      <c r="W22" s="68" t="e">
        <f>VLOOKUP(V22,DescontosTE[[#All],[idsreag supridora]:[codsariSUP]],2,FALSE)</f>
        <v>#N/A</v>
      </c>
      <c r="AA22" s="923"/>
      <c r="AB22" s="924"/>
      <c r="AC22" s="923"/>
      <c r="AD22" s="923"/>
      <c r="AE22" s="924"/>
      <c r="AF22" s="929"/>
      <c r="AG22" s="923"/>
    </row>
    <row r="23" spans="2:39" ht="16.5">
      <c r="B23" s="94" t="s">
        <v>64</v>
      </c>
      <c r="C23" s="120"/>
      <c r="D23" s="1681"/>
      <c r="F23" s="93"/>
      <c r="H23" s="68" t="e">
        <f t="shared" si="0"/>
        <v>#N/A</v>
      </c>
      <c r="I23" s="520"/>
      <c r="J23" s="521"/>
      <c r="K23" s="521"/>
      <c r="L23" s="521"/>
      <c r="M23" s="521"/>
      <c r="N23" s="521"/>
      <c r="O23" s="521"/>
      <c r="P23" s="521"/>
      <c r="Q23" s="522"/>
      <c r="R23" s="522"/>
      <c r="S23" s="522"/>
      <c r="T23" s="522"/>
      <c r="U23" s="521"/>
      <c r="V23" s="521"/>
      <c r="W23" s="68" t="e">
        <f>VLOOKUP(V23,DescontosTE[[#All],[idsreag supridora]:[codsariSUP]],2,FALSE)</f>
        <v>#N/A</v>
      </c>
      <c r="AA23" s="923"/>
      <c r="AB23" s="924"/>
      <c r="AC23" s="923"/>
      <c r="AD23" s="923"/>
      <c r="AE23" s="924"/>
      <c r="AF23" s="923"/>
      <c r="AG23" s="923"/>
    </row>
    <row r="24" spans="2:39" ht="16.5">
      <c r="B24" s="94" t="s">
        <v>65</v>
      </c>
      <c r="C24" s="120">
        <v>0</v>
      </c>
      <c r="D24" s="1681"/>
      <c r="F24" s="93"/>
      <c r="H24" s="68" t="e">
        <f t="shared" si="0"/>
        <v>#N/A</v>
      </c>
      <c r="I24" s="520"/>
      <c r="J24" s="521"/>
      <c r="K24" s="521"/>
      <c r="L24" s="521"/>
      <c r="M24" s="521"/>
      <c r="N24" s="521"/>
      <c r="O24" s="521"/>
      <c r="P24" s="521"/>
      <c r="Q24" s="522"/>
      <c r="R24" s="522"/>
      <c r="S24" s="522"/>
      <c r="T24" s="522"/>
      <c r="U24" s="521"/>
      <c r="V24" s="521"/>
      <c r="W24" s="68" t="e">
        <f>VLOOKUP(V24,DescontosTE[[#All],[idsreag supridora]:[codsariSUP]],2,FALSE)</f>
        <v>#N/A</v>
      </c>
    </row>
    <row r="25" spans="2:39" ht="16.5">
      <c r="B25" s="94" t="s">
        <v>66</v>
      </c>
      <c r="C25" s="120">
        <v>1177957.7386500002</v>
      </c>
      <c r="D25" s="1681"/>
      <c r="H25" s="68" t="e">
        <f t="shared" si="0"/>
        <v>#N/A</v>
      </c>
      <c r="I25" s="520"/>
      <c r="J25" s="521"/>
      <c r="K25" s="521"/>
      <c r="L25" s="521"/>
      <c r="M25" s="521"/>
      <c r="N25" s="521"/>
      <c r="O25" s="521"/>
      <c r="P25" s="521"/>
      <c r="Q25" s="522"/>
      <c r="R25" s="522"/>
      <c r="S25" s="522"/>
      <c r="T25" s="522"/>
      <c r="U25" s="521"/>
      <c r="V25" s="521"/>
      <c r="W25" s="68" t="e">
        <f>VLOOKUP(V25,DescontosTE[[#All],[idsreag supridora]:[codsariSUP]],2,FALSE)</f>
        <v>#N/A</v>
      </c>
      <c r="AD25" s="922"/>
      <c r="AE25" s="1024"/>
      <c r="AF25" s="922"/>
      <c r="AG25" s="922"/>
    </row>
    <row r="26" spans="2:39" ht="16.5">
      <c r="B26" s="1066" t="s">
        <v>67</v>
      </c>
      <c r="C26" s="1076">
        <v>4036913.2199999997</v>
      </c>
      <c r="D26" s="1681"/>
      <c r="H26" s="68" t="e">
        <f t="shared" si="0"/>
        <v>#N/A</v>
      </c>
      <c r="I26" s="520"/>
      <c r="J26" s="521"/>
      <c r="K26" s="521"/>
      <c r="L26" s="521"/>
      <c r="M26" s="521"/>
      <c r="N26" s="521"/>
      <c r="O26" s="521"/>
      <c r="P26" s="521"/>
      <c r="Q26" s="522"/>
      <c r="R26" s="522"/>
      <c r="S26" s="522"/>
      <c r="T26" s="522"/>
      <c r="U26" s="521"/>
      <c r="V26" s="521"/>
      <c r="W26" s="68" t="e">
        <f>VLOOKUP(V26,DescontosTE[[#All],[idsreag supridora]:[codsariSUP]],2,FALSE)</f>
        <v>#N/A</v>
      </c>
      <c r="AD26" s="922"/>
      <c r="AE26" s="1024"/>
      <c r="AF26" s="922"/>
      <c r="AG26" s="922"/>
    </row>
    <row r="27" spans="2:39" ht="16.5">
      <c r="C27" s="69"/>
      <c r="D27" s="1681"/>
      <c r="H27" s="68" t="e">
        <f t="shared" si="0"/>
        <v>#N/A</v>
      </c>
      <c r="I27" s="520"/>
      <c r="J27" s="521"/>
      <c r="K27" s="521"/>
      <c r="L27" s="521"/>
      <c r="M27" s="521"/>
      <c r="N27" s="521"/>
      <c r="O27" s="521"/>
      <c r="P27" s="521"/>
      <c r="Q27" s="522"/>
      <c r="R27" s="522"/>
      <c r="S27" s="522"/>
      <c r="T27" s="522"/>
      <c r="U27" s="521"/>
      <c r="V27" s="521"/>
      <c r="W27" s="68" t="e">
        <f>VLOOKUP(V27,DescontosTE[[#All],[idsreag supridora]:[codsariSUP]],2,FALSE)</f>
        <v>#N/A</v>
      </c>
    </row>
    <row r="28" spans="2:39" ht="16.5">
      <c r="B28" s="1065" t="s">
        <v>68</v>
      </c>
      <c r="C28" s="1077"/>
      <c r="D28" s="1681"/>
      <c r="H28" s="68" t="e">
        <f t="shared" si="0"/>
        <v>#N/A</v>
      </c>
      <c r="I28" s="520"/>
      <c r="J28" s="521"/>
      <c r="K28" s="521"/>
      <c r="L28" s="521"/>
      <c r="M28" s="521"/>
      <c r="N28" s="521"/>
      <c r="O28" s="521"/>
      <c r="P28" s="521"/>
      <c r="Q28" s="522"/>
      <c r="R28" s="522"/>
      <c r="S28" s="522"/>
      <c r="T28" s="522"/>
      <c r="U28" s="521"/>
      <c r="V28" s="521"/>
      <c r="W28" s="68" t="e">
        <f>VLOOKUP(V28,DescontosTE[[#All],[idsreag supridora]:[codsariSUP]],2,FALSE)</f>
        <v>#N/A</v>
      </c>
    </row>
    <row r="29" spans="2:39" ht="7.5" customHeight="1">
      <c r="D29" s="1681"/>
      <c r="H29" s="68" t="e">
        <f t="shared" si="0"/>
        <v>#N/A</v>
      </c>
      <c r="I29" s="520"/>
      <c r="J29" s="521"/>
      <c r="K29" s="521"/>
      <c r="L29" s="521"/>
      <c r="M29" s="521"/>
      <c r="N29" s="521"/>
      <c r="O29" s="521"/>
      <c r="P29" s="521"/>
      <c r="Q29" s="522"/>
      <c r="R29" s="522"/>
      <c r="S29" s="522"/>
      <c r="T29" s="522"/>
      <c r="U29" s="521"/>
      <c r="V29" s="521"/>
      <c r="W29" s="68" t="e">
        <f>VLOOKUP(V29,DescontosTE[[#All],[idsreag supridora]:[codsariSUP]],2,FALSE)</f>
        <v>#N/A</v>
      </c>
    </row>
    <row r="30" spans="2:39" ht="16.5">
      <c r="B30" s="1078"/>
      <c r="C30" s="1079"/>
      <c r="D30" s="1681"/>
      <c r="H30" s="68" t="e">
        <f t="shared" si="0"/>
        <v>#N/A</v>
      </c>
      <c r="I30" s="520"/>
      <c r="J30" s="521"/>
      <c r="K30" s="521"/>
      <c r="L30" s="521"/>
      <c r="M30" s="521"/>
      <c r="N30" s="521"/>
      <c r="O30" s="521"/>
      <c r="P30" s="521"/>
      <c r="Q30" s="522"/>
      <c r="R30" s="522"/>
      <c r="S30" s="522"/>
      <c r="T30" s="522"/>
      <c r="U30" s="521"/>
      <c r="V30" s="521"/>
      <c r="W30" s="68" t="e">
        <f>VLOOKUP(V30,DescontosTE[[#All],[idsreag supridora]:[codsariSUP]],2,FALSE)</f>
        <v>#N/A</v>
      </c>
    </row>
    <row r="31" spans="2:39">
      <c r="B31" s="684" t="s">
        <v>69</v>
      </c>
      <c r="C31" s="685">
        <v>0.11798881605826739</v>
      </c>
      <c r="D31" s="1682"/>
    </row>
    <row r="32" spans="2:39">
      <c r="B32" s="1080" t="s">
        <v>70</v>
      </c>
      <c r="C32" s="1081">
        <v>0.8420175939497041</v>
      </c>
      <c r="D32" s="90" t="s">
        <v>71</v>
      </c>
    </row>
    <row r="33" spans="1:21">
      <c r="D33" s="90"/>
    </row>
    <row r="34" spans="1:21">
      <c r="B34" s="1065"/>
      <c r="C34" s="1077"/>
    </row>
    <row r="35" spans="1:21">
      <c r="B35" s="1078" t="s">
        <v>41</v>
      </c>
      <c r="C35" s="1082">
        <v>166737.97728999998</v>
      </c>
    </row>
    <row r="36" spans="1:21">
      <c r="B36" s="684" t="s">
        <v>47</v>
      </c>
      <c r="C36" s="88">
        <v>63856.354850000003</v>
      </c>
    </row>
    <row r="37" spans="1:21">
      <c r="B37" s="1080" t="s">
        <v>40</v>
      </c>
      <c r="C37" s="1083">
        <v>17019.328792151529</v>
      </c>
    </row>
    <row r="39" spans="1:21">
      <c r="D39" s="90"/>
    </row>
    <row r="40" spans="1:21" ht="16.5">
      <c r="B40" s="1080"/>
      <c r="C40" s="72"/>
      <c r="D40" s="9"/>
      <c r="E40" s="9" t="s">
        <v>74</v>
      </c>
      <c r="F40" s="9"/>
    </row>
    <row r="41" spans="1:21" ht="16.5">
      <c r="A41" s="1084">
        <f>DATE(YEAR(B41),MONTH(B41),1)</f>
        <v>44348</v>
      </c>
      <c r="B41" s="1070">
        <v>44355</v>
      </c>
      <c r="C41" s="546">
        <v>0</v>
      </c>
      <c r="D41" s="9" t="b">
        <f ca="1">BD!E41&gt;=CAPA!$L$73</f>
        <v>0</v>
      </c>
      <c r="E41" s="235">
        <f>Indexador!L34</f>
        <v>0</v>
      </c>
      <c r="F41" s="493">
        <f>CAPA!B63</f>
        <v>44228</v>
      </c>
    </row>
    <row r="42" spans="1:21" ht="16.5">
      <c r="A42" s="1084">
        <f t="shared" ref="A42:A57" si="1">DATE(YEAR(B42),MONTH(B42),1)</f>
        <v>44378</v>
      </c>
      <c r="B42" s="522">
        <v>44384</v>
      </c>
      <c r="C42" s="546">
        <v>0</v>
      </c>
      <c r="D42" s="9" t="b">
        <f ca="1">BD!E42&gt;=CAPA!$L$73</f>
        <v>0</v>
      </c>
      <c r="E42" s="235">
        <f>Indexador!L35</f>
        <v>0</v>
      </c>
      <c r="F42" s="493">
        <f>CAPA!B64</f>
        <v>44256</v>
      </c>
      <c r="I42" s="830" t="s">
        <v>20</v>
      </c>
      <c r="J42" s="830" t="s">
        <v>21</v>
      </c>
      <c r="K42" s="830"/>
      <c r="L42" s="830" t="s">
        <v>22</v>
      </c>
      <c r="M42" s="830" t="s">
        <v>23</v>
      </c>
      <c r="N42" s="830" t="s">
        <v>24</v>
      </c>
      <c r="O42" s="830" t="s">
        <v>25</v>
      </c>
      <c r="P42" s="830" t="s">
        <v>26</v>
      </c>
      <c r="Q42" s="830" t="s">
        <v>27</v>
      </c>
      <c r="R42" s="830" t="s">
        <v>28</v>
      </c>
      <c r="S42" s="831" t="s">
        <v>29</v>
      </c>
      <c r="T42" s="830" t="s">
        <v>30</v>
      </c>
    </row>
    <row r="43" spans="1:21" ht="16.5">
      <c r="A43" s="1084">
        <f t="shared" si="1"/>
        <v>44409</v>
      </c>
      <c r="B43" s="522">
        <v>44413</v>
      </c>
      <c r="C43" s="546">
        <v>0</v>
      </c>
      <c r="D43" s="9" t="b">
        <f ca="1">BD!E43&gt;=CAPA!$L$73</f>
        <v>0</v>
      </c>
      <c r="E43" s="235">
        <f>Indexador!L36</f>
        <v>0</v>
      </c>
      <c r="F43" s="493">
        <f>CAPA!B65</f>
        <v>44287</v>
      </c>
      <c r="H43" s="68" t="str">
        <f>CONCATENATE(U43,J43)</f>
        <v>6587A4</v>
      </c>
      <c r="I43" s="520">
        <v>2022</v>
      </c>
      <c r="J43" s="521" t="s">
        <v>596</v>
      </c>
      <c r="K43" s="521" t="s">
        <v>2238</v>
      </c>
      <c r="L43" s="521" t="s">
        <v>1323</v>
      </c>
      <c r="M43" s="521" t="s">
        <v>371</v>
      </c>
      <c r="N43" s="521">
        <v>5377</v>
      </c>
      <c r="O43" s="522">
        <v>44673</v>
      </c>
      <c r="P43" s="522">
        <v>44665</v>
      </c>
      <c r="Q43" s="522" t="s">
        <v>194</v>
      </c>
      <c r="R43" s="522" t="s">
        <v>2239</v>
      </c>
      <c r="S43" s="521">
        <v>253.57</v>
      </c>
      <c r="T43" s="521">
        <v>155</v>
      </c>
      <c r="U43" s="68">
        <f>VLOOKUP(T43,DescontosTE[[#All],[idsreag supridora]:[codsariSUP]],2,FALSE)</f>
        <v>6587</v>
      </c>
    </row>
    <row r="44" spans="1:21" ht="16.5">
      <c r="A44" s="1084">
        <f t="shared" si="1"/>
        <v>44440</v>
      </c>
      <c r="B44" s="522">
        <v>44447</v>
      </c>
      <c r="C44" s="546">
        <v>0</v>
      </c>
      <c r="D44" s="9" t="b">
        <f ca="1">BD!E44&gt;=CAPA!$L$73</f>
        <v>0</v>
      </c>
      <c r="E44" s="235">
        <f>Indexador!L37</f>
        <v>0</v>
      </c>
      <c r="F44" s="493">
        <f>CAPA!B66</f>
        <v>44317</v>
      </c>
      <c r="H44" s="68" t="e">
        <f t="shared" ref="H44:H59" si="2">CONCATENATE(U44,J44)</f>
        <v>#N/A</v>
      </c>
      <c r="I44" s="520"/>
      <c r="J44" s="521"/>
      <c r="K44" s="521"/>
      <c r="L44" s="521"/>
      <c r="M44" s="521"/>
      <c r="N44" s="521"/>
      <c r="O44" s="522"/>
      <c r="P44" s="522"/>
      <c r="Q44" s="522"/>
      <c r="R44" s="522"/>
      <c r="S44" s="521"/>
      <c r="T44" s="521"/>
      <c r="U44" s="68" t="e">
        <f>VLOOKUP(T44,DescontosTE[[#All],[idsreag supridora]:[codsariSUP]],2,FALSE)</f>
        <v>#N/A</v>
      </c>
    </row>
    <row r="45" spans="1:21" ht="16.5">
      <c r="A45" s="1084">
        <f t="shared" si="1"/>
        <v>44470</v>
      </c>
      <c r="B45" s="522">
        <v>44476</v>
      </c>
      <c r="C45" s="546">
        <v>0</v>
      </c>
      <c r="D45" s="9" t="b">
        <f ca="1">BD!E45&gt;=CAPA!$L$73</f>
        <v>0</v>
      </c>
      <c r="E45" s="235">
        <f>Indexador!L38</f>
        <v>0</v>
      </c>
      <c r="F45" s="493">
        <f>CAPA!B67</f>
        <v>44348</v>
      </c>
      <c r="H45" s="68" t="e">
        <f t="shared" si="2"/>
        <v>#N/A</v>
      </c>
      <c r="I45" s="520"/>
      <c r="J45" s="521"/>
      <c r="K45" s="521"/>
      <c r="L45" s="521"/>
      <c r="M45" s="521"/>
      <c r="N45" s="521"/>
      <c r="O45" s="522"/>
      <c r="P45" s="522"/>
      <c r="Q45" s="522"/>
      <c r="R45" s="522"/>
      <c r="S45" s="521"/>
      <c r="T45" s="521"/>
      <c r="U45" s="68" t="e">
        <f>VLOOKUP(T45,DescontosTE[[#All],[idsreag supridora]:[codsariSUP]],2,FALSE)</f>
        <v>#N/A</v>
      </c>
    </row>
    <row r="46" spans="1:21" ht="16.5">
      <c r="A46" s="1084">
        <f t="shared" si="1"/>
        <v>44501</v>
      </c>
      <c r="B46" s="522">
        <v>44509</v>
      </c>
      <c r="C46" s="546">
        <v>0</v>
      </c>
      <c r="D46" s="9" t="b">
        <f ca="1">BD!E46&gt;=CAPA!$L$73</f>
        <v>0</v>
      </c>
      <c r="E46" s="235">
        <f>Indexador!L39</f>
        <v>0</v>
      </c>
      <c r="F46" s="493">
        <f>CAPA!B68</f>
        <v>44378</v>
      </c>
      <c r="H46" s="68" t="e">
        <f t="shared" si="2"/>
        <v>#N/A</v>
      </c>
      <c r="I46" s="520"/>
      <c r="J46" s="521"/>
      <c r="K46" s="521"/>
      <c r="L46" s="521"/>
      <c r="M46" s="521"/>
      <c r="N46" s="521"/>
      <c r="O46" s="522"/>
      <c r="P46" s="522"/>
      <c r="Q46" s="522"/>
      <c r="R46" s="522"/>
      <c r="S46" s="521"/>
      <c r="T46" s="521"/>
      <c r="U46" s="68" t="e">
        <f>VLOOKUP(T46,DescontosTE[[#All],[idsreag supridora]:[codsariSUP]],2,FALSE)</f>
        <v>#N/A</v>
      </c>
    </row>
    <row r="47" spans="1:21" ht="16.5">
      <c r="A47" s="1084">
        <f t="shared" si="1"/>
        <v>44531</v>
      </c>
      <c r="B47" s="522">
        <v>44538</v>
      </c>
      <c r="C47" s="546">
        <v>0</v>
      </c>
      <c r="D47" s="9" t="b">
        <f ca="1">BD!E47&gt;=CAPA!$L$73</f>
        <v>0</v>
      </c>
      <c r="E47" s="235">
        <f>Indexador!L40</f>
        <v>0</v>
      </c>
      <c r="F47" s="493">
        <f>CAPA!B69</f>
        <v>44409</v>
      </c>
      <c r="H47" s="68" t="e">
        <f t="shared" si="2"/>
        <v>#N/A</v>
      </c>
      <c r="I47" s="520"/>
      <c r="J47" s="521"/>
      <c r="K47" s="521"/>
      <c r="L47" s="521"/>
      <c r="M47" s="521"/>
      <c r="N47" s="521"/>
      <c r="O47" s="522"/>
      <c r="P47" s="522"/>
      <c r="Q47" s="522"/>
      <c r="R47" s="522"/>
      <c r="S47" s="521"/>
      <c r="T47" s="521"/>
      <c r="U47" s="68" t="e">
        <f>VLOOKUP(T47,DescontosTE[[#All],[idsreag supridora]:[codsariSUP]],2,FALSE)</f>
        <v>#N/A</v>
      </c>
    </row>
    <row r="48" spans="1:21" ht="16.5">
      <c r="A48" s="1084">
        <f t="shared" si="1"/>
        <v>44562</v>
      </c>
      <c r="B48" s="522">
        <v>44566</v>
      </c>
      <c r="C48" s="546">
        <v>0</v>
      </c>
      <c r="D48" s="9" t="b">
        <f ca="1">BD!E48&gt;=CAPA!$L$73</f>
        <v>0</v>
      </c>
      <c r="E48" s="235">
        <f>Indexador!L41</f>
        <v>0</v>
      </c>
      <c r="F48" s="493">
        <f>CAPA!B70</f>
        <v>44440</v>
      </c>
      <c r="H48" s="68" t="e">
        <f t="shared" si="2"/>
        <v>#N/A</v>
      </c>
      <c r="I48" s="520"/>
      <c r="J48" s="521"/>
      <c r="K48" s="521"/>
      <c r="L48" s="521"/>
      <c r="M48" s="521"/>
      <c r="N48" s="521"/>
      <c r="O48" s="522"/>
      <c r="P48" s="522"/>
      <c r="Q48" s="522"/>
      <c r="R48" s="522"/>
      <c r="S48" s="521"/>
      <c r="T48" s="521"/>
      <c r="U48" s="68" t="e">
        <f>VLOOKUP(T48,DescontosTE[[#All],[idsreag supridora]:[codsariSUP]],2,FALSE)</f>
        <v>#N/A</v>
      </c>
    </row>
    <row r="49" spans="1:21" ht="16.5">
      <c r="A49" s="1084">
        <f t="shared" si="1"/>
        <v>44593</v>
      </c>
      <c r="B49" s="522">
        <v>44599</v>
      </c>
      <c r="C49" s="546">
        <v>0</v>
      </c>
      <c r="D49" s="9" t="b">
        <f ca="1">BD!E49&gt;=CAPA!$L$73</f>
        <v>0</v>
      </c>
      <c r="E49" s="235">
        <f>Indexador!L42</f>
        <v>0</v>
      </c>
      <c r="F49" s="493">
        <f>CAPA!B71</f>
        <v>44470</v>
      </c>
      <c r="H49" s="68" t="e">
        <f t="shared" si="2"/>
        <v>#N/A</v>
      </c>
      <c r="I49" s="520"/>
      <c r="J49" s="521"/>
      <c r="K49" s="521"/>
      <c r="L49" s="521"/>
      <c r="M49" s="521"/>
      <c r="N49" s="521"/>
      <c r="O49" s="521"/>
      <c r="P49" s="521"/>
      <c r="Q49" s="522"/>
      <c r="R49" s="522"/>
      <c r="S49" s="522"/>
      <c r="T49" s="521"/>
      <c r="U49" s="68" t="e">
        <f>VLOOKUP(T49,DescontosTE[[#All],[idsreag supridora]:[codsariSUP]],2,FALSE)</f>
        <v>#N/A</v>
      </c>
    </row>
    <row r="50" spans="1:21" ht="16.5">
      <c r="A50" s="1084">
        <f t="shared" si="1"/>
        <v>44621</v>
      </c>
      <c r="B50" s="522">
        <v>44629</v>
      </c>
      <c r="C50" s="546">
        <v>0</v>
      </c>
      <c r="D50" s="9" t="b">
        <f ca="1">BD!E50&gt;=CAPA!$L$73</f>
        <v>0</v>
      </c>
      <c r="E50" s="235">
        <f>Indexador!L43</f>
        <v>0</v>
      </c>
      <c r="F50" s="493">
        <f>CAPA!B72</f>
        <v>44501</v>
      </c>
      <c r="H50" s="68" t="e">
        <f t="shared" si="2"/>
        <v>#N/A</v>
      </c>
      <c r="I50" s="520"/>
      <c r="J50" s="521"/>
      <c r="K50" s="521"/>
      <c r="L50" s="521"/>
      <c r="M50" s="521"/>
      <c r="N50" s="521"/>
      <c r="O50" s="521"/>
      <c r="P50" s="521"/>
      <c r="Q50" s="522"/>
      <c r="R50" s="522"/>
      <c r="S50" s="522"/>
      <c r="T50" s="521"/>
      <c r="U50" s="68" t="e">
        <f>VLOOKUP(T50,DescontosTE[[#All],[idsreag supridora]:[codsariSUP]],2,FALSE)</f>
        <v>#N/A</v>
      </c>
    </row>
    <row r="51" spans="1:21" ht="16.5">
      <c r="A51" s="1084">
        <f t="shared" si="1"/>
        <v>44652</v>
      </c>
      <c r="B51" s="522">
        <v>44657</v>
      </c>
      <c r="C51" s="546">
        <v>0</v>
      </c>
      <c r="D51" s="9" t="b">
        <f ca="1">BD!E51&gt;=CAPA!$L$73</f>
        <v>0</v>
      </c>
      <c r="E51" s="235">
        <f>Indexador!L44</f>
        <v>0</v>
      </c>
      <c r="F51" s="493">
        <f>CAPA!B73</f>
        <v>44531</v>
      </c>
      <c r="H51" s="68" t="e">
        <f t="shared" si="2"/>
        <v>#N/A</v>
      </c>
      <c r="I51" s="520"/>
      <c r="J51" s="521"/>
      <c r="K51" s="521"/>
      <c r="L51" s="521"/>
      <c r="M51" s="521"/>
      <c r="N51" s="521"/>
      <c r="O51" s="521"/>
      <c r="P51" s="521"/>
      <c r="Q51" s="522"/>
      <c r="R51" s="522"/>
      <c r="S51" s="522"/>
      <c r="T51" s="521"/>
      <c r="U51" s="68" t="e">
        <f>VLOOKUP(T51,DescontosTE[[#All],[idsreag supridora]:[codsariSUP]],2,FALSE)</f>
        <v>#N/A</v>
      </c>
    </row>
    <row r="52" spans="1:21" ht="16.5">
      <c r="A52" s="1084">
        <f t="shared" si="1"/>
        <v>1</v>
      </c>
      <c r="B52" s="522"/>
      <c r="C52" s="546"/>
      <c r="D52" s="9" t="b">
        <f ca="1">BD!E52&gt;=CAPA!$L$73</f>
        <v>0</v>
      </c>
      <c r="E52" s="235">
        <f>Indexador!L45</f>
        <v>0</v>
      </c>
      <c r="F52" s="493">
        <f>CAPA!B74</f>
        <v>44562</v>
      </c>
      <c r="H52" s="68" t="e">
        <f t="shared" si="2"/>
        <v>#N/A</v>
      </c>
      <c r="I52" s="520"/>
      <c r="J52" s="521"/>
      <c r="K52" s="521"/>
      <c r="L52" s="521"/>
      <c r="M52" s="521"/>
      <c r="N52" s="521"/>
      <c r="O52" s="521"/>
      <c r="P52" s="521"/>
      <c r="Q52" s="522"/>
      <c r="R52" s="522"/>
      <c r="S52" s="522"/>
      <c r="T52" s="521"/>
      <c r="U52" s="68" t="e">
        <f>VLOOKUP(T52,DescontosTE[[#All],[idsreag supridora]:[codsariSUP]],2,FALSE)</f>
        <v>#N/A</v>
      </c>
    </row>
    <row r="53" spans="1:21" ht="16.5">
      <c r="A53" s="1084">
        <f t="shared" si="1"/>
        <v>1</v>
      </c>
      <c r="B53" s="522"/>
      <c r="C53" s="546"/>
      <c r="D53" s="9" t="b">
        <f ca="1">BD!E53&gt;=CAPA!$L$73</f>
        <v>0</v>
      </c>
      <c r="E53" s="235">
        <f>Indexador!L46</f>
        <v>0</v>
      </c>
      <c r="F53" s="493">
        <f>CAPA!B75</f>
        <v>44593</v>
      </c>
      <c r="H53" s="68" t="e">
        <f t="shared" si="2"/>
        <v>#N/A</v>
      </c>
      <c r="I53" s="520"/>
      <c r="J53" s="521"/>
      <c r="K53" s="521"/>
      <c r="L53" s="521"/>
      <c r="M53" s="521"/>
      <c r="N53" s="521"/>
      <c r="O53" s="521"/>
      <c r="P53" s="521"/>
      <c r="Q53" s="522"/>
      <c r="R53" s="522"/>
      <c r="S53" s="522"/>
      <c r="T53" s="521"/>
      <c r="U53" s="68" t="e">
        <f>VLOOKUP(T53,DescontosTE[[#All],[idsreag supridora]:[codsariSUP]],2,FALSE)</f>
        <v>#N/A</v>
      </c>
    </row>
    <row r="54" spans="1:21" ht="16.5">
      <c r="A54" s="1084">
        <f t="shared" si="1"/>
        <v>1</v>
      </c>
      <c r="B54" s="522"/>
      <c r="C54" s="546"/>
      <c r="D54" s="9" t="b">
        <f ca="1">BD!E54&gt;=CAPA!$L$73</f>
        <v>0</v>
      </c>
      <c r="E54" s="235">
        <f>Indexador!L47</f>
        <v>0</v>
      </c>
      <c r="F54" s="493">
        <f>CAPA!B76</f>
        <v>44621</v>
      </c>
      <c r="H54" s="68" t="e">
        <f t="shared" si="2"/>
        <v>#N/A</v>
      </c>
      <c r="I54" s="520"/>
      <c r="J54" s="521"/>
      <c r="K54" s="521"/>
      <c r="L54" s="521"/>
      <c r="M54" s="521"/>
      <c r="N54" s="521"/>
      <c r="O54" s="521"/>
      <c r="P54" s="521"/>
      <c r="Q54" s="522"/>
      <c r="R54" s="522"/>
      <c r="S54" s="522"/>
      <c r="T54" s="521"/>
      <c r="U54" s="68" t="e">
        <f>VLOOKUP(T54,DescontosTE[[#All],[idsreag supridora]:[codsariSUP]],2,FALSE)</f>
        <v>#N/A</v>
      </c>
    </row>
    <row r="55" spans="1:21" ht="16.5">
      <c r="A55" s="1084">
        <f t="shared" si="1"/>
        <v>1</v>
      </c>
      <c r="B55" s="522"/>
      <c r="C55" s="546"/>
      <c r="D55" s="9" t="b">
        <f ca="1">BD!E55&gt;=CAPA!$L$73</f>
        <v>0</v>
      </c>
      <c r="E55" s="235">
        <f>Indexador!L48</f>
        <v>0</v>
      </c>
      <c r="F55" s="493">
        <f>CAPA!B77</f>
        <v>44652</v>
      </c>
      <c r="H55" s="68" t="e">
        <f t="shared" si="2"/>
        <v>#N/A</v>
      </c>
      <c r="I55" s="520"/>
      <c r="J55" s="521"/>
      <c r="K55" s="521"/>
      <c r="L55" s="521"/>
      <c r="M55" s="521"/>
      <c r="N55" s="521"/>
      <c r="O55" s="521"/>
      <c r="P55" s="521"/>
      <c r="Q55" s="522"/>
      <c r="R55" s="522"/>
      <c r="S55" s="522"/>
      <c r="T55" s="521"/>
      <c r="U55" s="68" t="e">
        <f>VLOOKUP(T55,DescontosTE[[#All],[idsreag supridora]:[codsariSUP]],2,FALSE)</f>
        <v>#N/A</v>
      </c>
    </row>
    <row r="56" spans="1:21" ht="16.5">
      <c r="A56" s="1084">
        <f t="shared" si="1"/>
        <v>1</v>
      </c>
      <c r="B56" s="522"/>
      <c r="C56" s="546"/>
      <c r="D56" s="9"/>
      <c r="E56" s="235"/>
      <c r="F56" s="493"/>
      <c r="H56" s="68" t="e">
        <f t="shared" si="2"/>
        <v>#N/A</v>
      </c>
      <c r="I56" s="520"/>
      <c r="J56" s="521"/>
      <c r="K56" s="521"/>
      <c r="L56" s="521"/>
      <c r="M56" s="521"/>
      <c r="N56" s="521"/>
      <c r="O56" s="521"/>
      <c r="P56" s="521"/>
      <c r="Q56" s="522"/>
      <c r="R56" s="522"/>
      <c r="S56" s="522"/>
      <c r="T56" s="521"/>
      <c r="U56" s="68" t="e">
        <f>VLOOKUP(T56,DescontosTE[[#All],[idsreag supridora]:[codsariSUP]],2,FALSE)</f>
        <v>#N/A</v>
      </c>
    </row>
    <row r="57" spans="1:21" ht="16.5">
      <c r="A57" s="1084">
        <f t="shared" si="1"/>
        <v>1</v>
      </c>
      <c r="B57" s="1085"/>
      <c r="C57" s="875"/>
      <c r="D57" s="17"/>
      <c r="H57" s="68" t="e">
        <f t="shared" si="2"/>
        <v>#N/A</v>
      </c>
      <c r="I57" s="520"/>
      <c r="J57" s="521"/>
      <c r="K57" s="521"/>
      <c r="L57" s="521"/>
      <c r="M57" s="521"/>
      <c r="N57" s="521"/>
      <c r="O57" s="521"/>
      <c r="P57" s="521"/>
      <c r="Q57" s="522"/>
      <c r="R57" s="522"/>
      <c r="S57" s="522"/>
      <c r="T57" s="521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20"/>
      <c r="J58" s="521"/>
      <c r="K58" s="521"/>
      <c r="L58" s="521"/>
      <c r="M58" s="521"/>
      <c r="N58" s="521"/>
      <c r="O58" s="521"/>
      <c r="P58" s="521"/>
      <c r="Q58" s="522"/>
      <c r="R58" s="522"/>
      <c r="S58" s="522"/>
      <c r="T58" s="521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86"/>
      <c r="J59" s="1087"/>
      <c r="K59" s="1087"/>
      <c r="L59" s="1087"/>
      <c r="M59" s="1087"/>
      <c r="N59" s="1087"/>
      <c r="O59" s="1087"/>
      <c r="P59" s="1087"/>
      <c r="Q59" s="1085"/>
      <c r="R59" s="1085"/>
      <c r="S59" s="1085"/>
      <c r="T59" s="1087"/>
      <c r="U59" s="68" t="e">
        <f>VLOOKUP(T59,DescontosTE[[#All],[idsreag supridora]:[codsariSUP]],2,FALSE)</f>
        <v>#N/A</v>
      </c>
    </row>
    <row r="60" spans="1:21">
      <c r="B60" s="1080" t="s">
        <v>75</v>
      </c>
      <c r="C60" s="72"/>
    </row>
    <row r="61" spans="1:21" ht="16.5">
      <c r="B61" s="1088" t="s">
        <v>773</v>
      </c>
      <c r="C61" s="876">
        <v>0</v>
      </c>
      <c r="D61" s="68">
        <v>0</v>
      </c>
    </row>
    <row r="62" spans="1:21" ht="16.5">
      <c r="B62" s="720" t="s">
        <v>775</v>
      </c>
      <c r="C62" s="546">
        <v>0</v>
      </c>
      <c r="D62" s="69">
        <v>0</v>
      </c>
    </row>
    <row r="63" spans="1:21" ht="16.5">
      <c r="B63" s="720" t="s">
        <v>777</v>
      </c>
      <c r="C63" s="546">
        <v>0</v>
      </c>
      <c r="D63" s="69">
        <v>0</v>
      </c>
    </row>
    <row r="64" spans="1:21" ht="16.5">
      <c r="B64" s="720" t="s">
        <v>778</v>
      </c>
      <c r="C64" s="546">
        <v>2657.85</v>
      </c>
      <c r="D64" s="69">
        <v>0</v>
      </c>
    </row>
    <row r="65" spans="2:4" ht="16.5">
      <c r="B65" s="720" t="s">
        <v>781</v>
      </c>
      <c r="C65" s="546">
        <v>21118.61</v>
      </c>
      <c r="D65" s="69">
        <v>0</v>
      </c>
    </row>
    <row r="66" spans="2:4" ht="16.5">
      <c r="B66" s="1089" t="s">
        <v>783</v>
      </c>
      <c r="C66" s="875">
        <v>1412.4</v>
      </c>
      <c r="D66" s="69">
        <v>0</v>
      </c>
    </row>
    <row r="70" spans="2:4">
      <c r="B70" s="1009" t="s">
        <v>72</v>
      </c>
      <c r="C70" s="1009" t="s">
        <v>37</v>
      </c>
      <c r="D70" s="1009" t="s">
        <v>73</v>
      </c>
    </row>
    <row r="71" spans="2:4">
      <c r="B71" s="923" t="s">
        <v>49</v>
      </c>
      <c r="C71" s="1029"/>
      <c r="D71" s="924"/>
    </row>
    <row r="72" spans="2:4">
      <c r="B72" s="923" t="s">
        <v>845</v>
      </c>
      <c r="C72" s="1029"/>
      <c r="D72" s="924"/>
    </row>
    <row r="73" spans="2:4">
      <c r="B73" s="923" t="s">
        <v>2216</v>
      </c>
      <c r="C73" s="1029"/>
      <c r="D73" s="924"/>
    </row>
    <row r="74" spans="2:4">
      <c r="B74" s="923" t="s">
        <v>2217</v>
      </c>
      <c r="C74" s="1029"/>
      <c r="D74" s="924"/>
    </row>
    <row r="75" spans="2:4">
      <c r="B75" s="923" t="s">
        <v>2218</v>
      </c>
      <c r="C75" s="1029"/>
      <c r="D75" s="924"/>
    </row>
    <row r="76" spans="2:4">
      <c r="B76" s="923" t="s">
        <v>2219</v>
      </c>
      <c r="C76" s="1029"/>
      <c r="D76" s="924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/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</row>
    <row r="4" spans="2:20">
      <c r="B4" s="380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workbookViewId="0"/>
  </sheetViews>
  <sheetFormatPr defaultColWidth="9.140625" defaultRowHeight="15.75"/>
  <cols>
    <col min="1" max="1" width="18.28515625" style="902" bestFit="1" customWidth="1"/>
    <col min="2" max="2" width="71.42578125" style="902" bestFit="1" customWidth="1"/>
    <col min="3" max="3" width="9.5703125" style="902" customWidth="1"/>
    <col min="4" max="4" width="15.42578125" style="902" customWidth="1"/>
    <col min="5" max="5" width="8.85546875" style="902" customWidth="1"/>
    <col min="6" max="6" width="19.42578125" style="902" customWidth="1"/>
    <col min="7" max="7" width="17.7109375" style="902" customWidth="1"/>
    <col min="8" max="8" width="16.5703125" style="902" customWidth="1"/>
    <col min="9" max="10" width="12.7109375" style="902" customWidth="1"/>
    <col min="11" max="11" width="13.28515625" style="902" customWidth="1"/>
    <col min="12" max="13" width="12.7109375" style="902" customWidth="1"/>
    <col min="14" max="14" width="15.85546875" style="902" customWidth="1"/>
    <col min="15" max="16" width="12.7109375" style="902" customWidth="1"/>
    <col min="17" max="17" width="12" style="902" customWidth="1"/>
    <col min="18" max="18" width="12.7109375" style="902" customWidth="1"/>
    <col min="19" max="19" width="14.28515625" style="902" customWidth="1"/>
    <col min="20" max="20" width="12.7109375" style="902" customWidth="1"/>
    <col min="21" max="21" width="12" style="902" customWidth="1"/>
    <col min="22" max="22" width="16.85546875" style="902" customWidth="1"/>
    <col min="23" max="24" width="12.7109375" style="902" customWidth="1"/>
    <col min="25" max="25" width="12" style="902" customWidth="1"/>
    <col min="26" max="26" width="10.5703125" style="902" customWidth="1"/>
    <col min="27" max="27" width="10.5703125" style="902" bestFit="1" customWidth="1"/>
    <col min="28" max="28" width="9.85546875" style="902" bestFit="1" customWidth="1"/>
    <col min="29" max="29" width="12" style="902" bestFit="1" customWidth="1"/>
    <col min="30" max="30" width="13.28515625" style="903" bestFit="1" customWidth="1"/>
    <col min="31" max="31" width="11.7109375" style="902" bestFit="1" customWidth="1"/>
    <col min="32" max="32" width="12.7109375" style="902" bestFit="1" customWidth="1"/>
    <col min="33" max="34" width="10.5703125" style="902" bestFit="1" customWidth="1"/>
    <col min="35" max="16384" width="9.140625" style="902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902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909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909">
        <v>44043</v>
      </c>
      <c r="AH2" s="904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909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909">
        <v>44055</v>
      </c>
      <c r="AH3" s="904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909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909">
        <v>44088</v>
      </c>
      <c r="AH4" s="904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909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909">
        <v>44117</v>
      </c>
      <c r="AH5" s="904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909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909">
        <v>44147</v>
      </c>
      <c r="AH6" s="904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909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909">
        <v>44179</v>
      </c>
      <c r="AH7" s="904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909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909">
        <v>44193</v>
      </c>
      <c r="AH8" s="904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909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909">
        <v>44208</v>
      </c>
      <c r="AH9" s="904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909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909">
        <v>44043</v>
      </c>
      <c r="AH10" s="904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909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909">
        <v>44055</v>
      </c>
      <c r="AH11" s="904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909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909">
        <v>44088</v>
      </c>
      <c r="AH12" s="904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909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909">
        <v>44117</v>
      </c>
      <c r="AH13" s="904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909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909">
        <v>44147</v>
      </c>
      <c r="AH14" s="904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909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909">
        <v>44179</v>
      </c>
      <c r="AH15" s="904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909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909">
        <v>44193</v>
      </c>
      <c r="AH16" s="904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909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909">
        <v>44208</v>
      </c>
      <c r="AH17" s="904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909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909">
        <v>44043</v>
      </c>
      <c r="AH18" s="904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909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909">
        <v>44055</v>
      </c>
      <c r="AH19" s="904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909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909">
        <v>44088</v>
      </c>
      <c r="AH20" s="904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909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909">
        <v>44117</v>
      </c>
      <c r="AH21" s="904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909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909">
        <v>44147</v>
      </c>
      <c r="AH22" s="904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909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909">
        <v>44179</v>
      </c>
      <c r="AH23" s="904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909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909">
        <v>44193</v>
      </c>
      <c r="AH24" s="904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909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909">
        <v>44208</v>
      </c>
      <c r="AH25" s="904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909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909">
        <v>44043</v>
      </c>
      <c r="AH26" s="904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909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909">
        <v>44055</v>
      </c>
      <c r="AH27" s="904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909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909">
        <v>44088</v>
      </c>
      <c r="AH28" s="904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909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909">
        <v>44117</v>
      </c>
      <c r="AH29" s="904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909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909">
        <v>44147</v>
      </c>
      <c r="AH30" s="904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909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909">
        <v>44179</v>
      </c>
      <c r="AH31" s="904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909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909">
        <v>44193</v>
      </c>
      <c r="AH32" s="904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909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909">
        <v>44208</v>
      </c>
      <c r="AH33" s="904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909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909">
        <v>44043</v>
      </c>
      <c r="AH34" s="904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909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909">
        <v>44055</v>
      </c>
      <c r="AH35" s="904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909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909">
        <v>44088</v>
      </c>
      <c r="AH36" s="904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909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909">
        <v>44117</v>
      </c>
      <c r="AH37" s="904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909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909">
        <v>44147</v>
      </c>
      <c r="AH38" s="904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909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909">
        <v>44179</v>
      </c>
      <c r="AH39" s="904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909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909">
        <v>44193</v>
      </c>
      <c r="AH40" s="904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909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909">
        <v>44208</v>
      </c>
      <c r="AH41" s="904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909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909">
        <v>44043</v>
      </c>
      <c r="AH42" s="904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909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909">
        <v>44055</v>
      </c>
      <c r="AH43" s="904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909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909">
        <v>44088</v>
      </c>
      <c r="AH44" s="904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909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909">
        <v>44117</v>
      </c>
      <c r="AH45" s="904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909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909">
        <v>44147</v>
      </c>
      <c r="AH46" s="904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909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909">
        <v>44179</v>
      </c>
      <c r="AH47" s="904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909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909">
        <v>44193</v>
      </c>
      <c r="AH48" s="904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909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909">
        <v>44208</v>
      </c>
      <c r="AH49" s="904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909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909">
        <v>44043</v>
      </c>
      <c r="AH50" s="904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909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909">
        <v>44055</v>
      </c>
      <c r="AH51" s="904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909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909">
        <v>44088</v>
      </c>
      <c r="AH52" s="904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909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909">
        <v>44117</v>
      </c>
      <c r="AH53" s="904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909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909">
        <v>44147</v>
      </c>
      <c r="AH54" s="904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909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909">
        <v>44179</v>
      </c>
      <c r="AH55" s="904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909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909">
        <v>44193</v>
      </c>
      <c r="AH56" s="904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909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909">
        <v>44208</v>
      </c>
      <c r="AH57" s="904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909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909">
        <v>44043</v>
      </c>
      <c r="AH58" s="904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909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909">
        <v>44055</v>
      </c>
      <c r="AH59" s="904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909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909">
        <v>44088</v>
      </c>
      <c r="AH60" s="904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909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909">
        <v>44117</v>
      </c>
      <c r="AH61" s="904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909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909">
        <v>44147</v>
      </c>
      <c r="AH62" s="904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909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909">
        <v>44179</v>
      </c>
      <c r="AH63" s="904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909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909">
        <v>44193</v>
      </c>
      <c r="AH64" s="904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909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909">
        <v>44208</v>
      </c>
      <c r="AH65" s="904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909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909">
        <v>44043</v>
      </c>
      <c r="AH66" s="904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909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909">
        <v>44055</v>
      </c>
      <c r="AH67" s="904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909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909">
        <v>44088</v>
      </c>
      <c r="AH68" s="904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909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909">
        <v>44117</v>
      </c>
      <c r="AH69" s="904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909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909">
        <v>44147</v>
      </c>
      <c r="AH70" s="904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909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909">
        <v>44179</v>
      </c>
      <c r="AH71" s="904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909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909">
        <v>44193</v>
      </c>
      <c r="AH72" s="904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909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909">
        <v>44208</v>
      </c>
      <c r="AH73" s="904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909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909">
        <v>44043</v>
      </c>
      <c r="AH74" s="904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909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909">
        <v>44055</v>
      </c>
      <c r="AH75" s="904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909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909">
        <v>44088</v>
      </c>
      <c r="AH76" s="904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909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909">
        <v>44117</v>
      </c>
      <c r="AH77" s="904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909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909">
        <v>44147</v>
      </c>
      <c r="AH78" s="904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909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909">
        <v>44179</v>
      </c>
      <c r="AH79" s="904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909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909">
        <v>44193</v>
      </c>
      <c r="AH80" s="904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909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909">
        <v>44208</v>
      </c>
      <c r="AH81" s="904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909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909">
        <v>44043</v>
      </c>
      <c r="AH82" s="904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909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909">
        <v>44055</v>
      </c>
      <c r="AH83" s="904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909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909">
        <v>44088</v>
      </c>
      <c r="AH84" s="904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909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909">
        <v>44117</v>
      </c>
      <c r="AH85" s="904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909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909">
        <v>44147</v>
      </c>
      <c r="AH86" s="904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909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909">
        <v>44179</v>
      </c>
      <c r="AH87" s="904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909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909">
        <v>44193</v>
      </c>
      <c r="AH88" s="904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909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909">
        <v>44208</v>
      </c>
      <c r="AH89" s="904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909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909">
        <v>44043</v>
      </c>
      <c r="AH90" s="904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909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909">
        <v>44055</v>
      </c>
      <c r="AH91" s="904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909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909">
        <v>44088</v>
      </c>
      <c r="AH92" s="904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909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909">
        <v>44117</v>
      </c>
      <c r="AH93" s="904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909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909">
        <v>44147</v>
      </c>
      <c r="AH94" s="904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909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909">
        <v>44179</v>
      </c>
      <c r="AH95" s="904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909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909">
        <v>44193</v>
      </c>
      <c r="AH96" s="904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909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909">
        <v>44208</v>
      </c>
      <c r="AH97" s="904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909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909">
        <v>44043</v>
      </c>
      <c r="AH98" s="904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909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909">
        <v>44055</v>
      </c>
      <c r="AH99" s="904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909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909">
        <v>44088</v>
      </c>
      <c r="AH100" s="904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909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909">
        <v>44117</v>
      </c>
      <c r="AH101" s="904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909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909">
        <v>44147</v>
      </c>
      <c r="AH102" s="904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909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909">
        <v>44179</v>
      </c>
      <c r="AH103" s="904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909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909">
        <v>44193</v>
      </c>
      <c r="AH104" s="904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909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909">
        <v>44208</v>
      </c>
      <c r="AH105" s="904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909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909">
        <v>44043</v>
      </c>
      <c r="AH106" s="904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909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909">
        <v>44055</v>
      </c>
      <c r="AH107" s="904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909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909">
        <v>44088</v>
      </c>
      <c r="AH108" s="904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909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909">
        <v>44117</v>
      </c>
      <c r="AH109" s="904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909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909">
        <v>44147</v>
      </c>
      <c r="AH110" s="904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909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909">
        <v>44179</v>
      </c>
      <c r="AH111" s="904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909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909">
        <v>44193</v>
      </c>
      <c r="AH112" s="904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909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909">
        <v>44208</v>
      </c>
      <c r="AH113" s="904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909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909">
        <v>44043</v>
      </c>
      <c r="AH114" s="904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909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909">
        <v>44055</v>
      </c>
      <c r="AH115" s="904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909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909">
        <v>44088</v>
      </c>
      <c r="AH116" s="904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909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909">
        <v>44117</v>
      </c>
      <c r="AH117" s="904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909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909">
        <v>44147</v>
      </c>
      <c r="AH118" s="904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909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909">
        <v>44179</v>
      </c>
      <c r="AH119" s="904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909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909">
        <v>44193</v>
      </c>
      <c r="AH120" s="904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909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909">
        <v>44208</v>
      </c>
      <c r="AH121" s="904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909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909">
        <v>44043</v>
      </c>
      <c r="AH122" s="904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909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909">
        <v>44055</v>
      </c>
      <c r="AH123" s="904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909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909">
        <v>44088</v>
      </c>
      <c r="AH124" s="904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909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909">
        <v>44117</v>
      </c>
      <c r="AH125" s="904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909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909">
        <v>44147</v>
      </c>
      <c r="AH126" s="904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909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909">
        <v>44179</v>
      </c>
      <c r="AH127" s="904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909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909">
        <v>44193</v>
      </c>
      <c r="AH128" s="904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909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909">
        <v>44208</v>
      </c>
      <c r="AH129" s="904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909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909">
        <v>44043</v>
      </c>
      <c r="AH130" s="904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909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909">
        <v>44055</v>
      </c>
      <c r="AH131" s="904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909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909">
        <v>44088</v>
      </c>
      <c r="AH132" s="904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909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909">
        <v>44117</v>
      </c>
      <c r="AH133" s="904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909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909">
        <v>44147</v>
      </c>
      <c r="AH134" s="904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909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909">
        <v>44179</v>
      </c>
      <c r="AH135" s="904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909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909">
        <v>44193</v>
      </c>
      <c r="AH136" s="904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909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909">
        <v>44208</v>
      </c>
      <c r="AH137" s="904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909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909">
        <v>44043</v>
      </c>
      <c r="AH138" s="904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909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909">
        <v>44055</v>
      </c>
      <c r="AH139" s="904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909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909">
        <v>44088</v>
      </c>
      <c r="AH140" s="904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909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909">
        <v>44117</v>
      </c>
      <c r="AH141" s="904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909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909">
        <v>44147</v>
      </c>
      <c r="AH142" s="904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909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909">
        <v>44179</v>
      </c>
      <c r="AH143" s="904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909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909">
        <v>44193</v>
      </c>
      <c r="AH144" s="904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909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909">
        <v>44208</v>
      </c>
      <c r="AH145" s="904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909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909">
        <v>44043</v>
      </c>
      <c r="AH146" s="904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909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909">
        <v>44055</v>
      </c>
      <c r="AH147" s="904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909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909">
        <v>44088</v>
      </c>
      <c r="AH148" s="904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909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909">
        <v>44117</v>
      </c>
      <c r="AH149" s="904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909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909">
        <v>44147</v>
      </c>
      <c r="AH150" s="904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909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909">
        <v>44179</v>
      </c>
      <c r="AH151" s="904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909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909">
        <v>44193</v>
      </c>
      <c r="AH152" s="904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909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909">
        <v>44208</v>
      </c>
      <c r="AH153" s="904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909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909">
        <v>44043</v>
      </c>
      <c r="AH154" s="904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909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909">
        <v>44055</v>
      </c>
      <c r="AH155" s="904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909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909">
        <v>44088</v>
      </c>
      <c r="AH156" s="904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909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909">
        <v>44117</v>
      </c>
      <c r="AH157" s="904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909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909">
        <v>44147</v>
      </c>
      <c r="AH158" s="904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909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909">
        <v>44179</v>
      </c>
      <c r="AH159" s="904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909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909">
        <v>44193</v>
      </c>
      <c r="AH160" s="904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909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909">
        <v>44208</v>
      </c>
      <c r="AH161" s="904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909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909">
        <v>44043</v>
      </c>
      <c r="AH162" s="904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909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909">
        <v>44055</v>
      </c>
      <c r="AH163" s="904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909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909">
        <v>44088</v>
      </c>
      <c r="AH164" s="904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909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909">
        <v>44117</v>
      </c>
      <c r="AH165" s="904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909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909">
        <v>44147</v>
      </c>
      <c r="AH166" s="904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909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909">
        <v>44179</v>
      </c>
      <c r="AH167" s="904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909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909">
        <v>44193</v>
      </c>
      <c r="AH168" s="904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909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909">
        <v>44208</v>
      </c>
      <c r="AH169" s="904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909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909">
        <v>44043</v>
      </c>
      <c r="AH170" s="904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909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909">
        <v>44055</v>
      </c>
      <c r="AH171" s="904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909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909">
        <v>44088</v>
      </c>
      <c r="AH172" s="904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909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909">
        <v>44117</v>
      </c>
      <c r="AH173" s="904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909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909">
        <v>44147</v>
      </c>
      <c r="AH174" s="904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909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909">
        <v>44179</v>
      </c>
      <c r="AH175" s="904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909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909">
        <v>44193</v>
      </c>
      <c r="AH176" s="904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909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909">
        <v>44208</v>
      </c>
      <c r="AH177" s="904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909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909">
        <v>44043</v>
      </c>
      <c r="AH178" s="904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909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909">
        <v>44055</v>
      </c>
      <c r="AH179" s="904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909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909">
        <v>44088</v>
      </c>
      <c r="AH180" s="904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909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909">
        <v>44117</v>
      </c>
      <c r="AH181" s="904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909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909">
        <v>44147</v>
      </c>
      <c r="AH182" s="904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909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909">
        <v>44179</v>
      </c>
      <c r="AH183" s="904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909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909">
        <v>44193</v>
      </c>
      <c r="AH184" s="904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909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909">
        <v>44208</v>
      </c>
      <c r="AH185" s="904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909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909">
        <v>44043</v>
      </c>
      <c r="AH186" s="904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909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909">
        <v>44055</v>
      </c>
      <c r="AH187" s="904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909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909">
        <v>44088</v>
      </c>
      <c r="AH188" s="904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909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909">
        <v>44117</v>
      </c>
      <c r="AH189" s="904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909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909">
        <v>44147</v>
      </c>
      <c r="AH190" s="904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909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909">
        <v>44179</v>
      </c>
      <c r="AH191" s="904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909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909">
        <v>44193</v>
      </c>
      <c r="AH192" s="904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909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909">
        <v>44208</v>
      </c>
      <c r="AH193" s="904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909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909">
        <v>44043</v>
      </c>
      <c r="AH194" s="904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909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909">
        <v>44055</v>
      </c>
      <c r="AH195" s="904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909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909">
        <v>44088</v>
      </c>
      <c r="AH196" s="904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909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909">
        <v>44117</v>
      </c>
      <c r="AH197" s="904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909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909">
        <v>44147</v>
      </c>
      <c r="AH198" s="904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909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909">
        <v>44179</v>
      </c>
      <c r="AH199" s="904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909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909">
        <v>44193</v>
      </c>
      <c r="AH200" s="904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909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909">
        <v>44208</v>
      </c>
      <c r="AH201" s="904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909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909">
        <v>44043</v>
      </c>
      <c r="AH202" s="904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909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909">
        <v>44055</v>
      </c>
      <c r="AH203" s="904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909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909">
        <v>44088</v>
      </c>
      <c r="AH204" s="904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909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909">
        <v>44117</v>
      </c>
      <c r="AH205" s="904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909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909">
        <v>44147</v>
      </c>
      <c r="AH206" s="904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909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909">
        <v>44179</v>
      </c>
      <c r="AH207" s="904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909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909">
        <v>44193</v>
      </c>
      <c r="AH208" s="904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909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909">
        <v>44208</v>
      </c>
      <c r="AH209" s="904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909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909">
        <v>44043</v>
      </c>
      <c r="AH210" s="904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909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909">
        <v>44055</v>
      </c>
      <c r="AH211" s="904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909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909">
        <v>44088</v>
      </c>
      <c r="AH212" s="904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909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909">
        <v>44117</v>
      </c>
      <c r="AH213" s="904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909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909">
        <v>44147</v>
      </c>
      <c r="AH214" s="904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909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909">
        <v>44179</v>
      </c>
      <c r="AH215" s="904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909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909">
        <v>44193</v>
      </c>
      <c r="AH216" s="904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909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909">
        <v>44208</v>
      </c>
      <c r="AH217" s="904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909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909">
        <v>44043</v>
      </c>
      <c r="AH218" s="904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909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909">
        <v>44055</v>
      </c>
      <c r="AH219" s="904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909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909">
        <v>44088</v>
      </c>
      <c r="AH220" s="904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909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909">
        <v>44117</v>
      </c>
      <c r="AH221" s="904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909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909">
        <v>44147</v>
      </c>
      <c r="AH222" s="904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909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909">
        <v>44179</v>
      </c>
      <c r="AH223" s="904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909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909">
        <v>44193</v>
      </c>
      <c r="AH224" s="904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909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909">
        <v>44208</v>
      </c>
      <c r="AH225" s="904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909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909">
        <v>44043</v>
      </c>
      <c r="AH226" s="904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909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909">
        <v>44055</v>
      </c>
      <c r="AH227" s="904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909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909">
        <v>44088</v>
      </c>
      <c r="AH228" s="904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909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909">
        <v>44117</v>
      </c>
      <c r="AH229" s="904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909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909">
        <v>44147</v>
      </c>
      <c r="AH230" s="904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909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909">
        <v>44179</v>
      </c>
      <c r="AH231" s="904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909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909">
        <v>44193</v>
      </c>
      <c r="AH232" s="904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909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909">
        <v>44208</v>
      </c>
      <c r="AH233" s="904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909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909">
        <v>44043</v>
      </c>
      <c r="AH234" s="904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909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909">
        <v>44055</v>
      </c>
      <c r="AH235" s="904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909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909">
        <v>44088</v>
      </c>
      <c r="AH236" s="904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909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909">
        <v>44117</v>
      </c>
      <c r="AH237" s="904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909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909">
        <v>44147</v>
      </c>
      <c r="AH238" s="904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909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909">
        <v>44179</v>
      </c>
      <c r="AH239" s="904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909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909">
        <v>44193</v>
      </c>
      <c r="AH240" s="904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909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909">
        <v>44208</v>
      </c>
      <c r="AH241" s="904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909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909">
        <v>44043</v>
      </c>
      <c r="AH242" s="904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909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909">
        <v>44055</v>
      </c>
      <c r="AH243" s="904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909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909">
        <v>44088</v>
      </c>
      <c r="AH244" s="904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909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909">
        <v>44117</v>
      </c>
      <c r="AH245" s="904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909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909">
        <v>44147</v>
      </c>
      <c r="AH246" s="904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909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909">
        <v>44179</v>
      </c>
      <c r="AH247" s="904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909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909">
        <v>44193</v>
      </c>
      <c r="AH248" s="904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909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909">
        <v>44208</v>
      </c>
      <c r="AH249" s="904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909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909">
        <v>44043</v>
      </c>
      <c r="AH250" s="904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909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909">
        <v>44055</v>
      </c>
      <c r="AH251" s="904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909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909">
        <v>44088</v>
      </c>
      <c r="AH252" s="904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909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909">
        <v>44117</v>
      </c>
      <c r="AH253" s="904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909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909">
        <v>44147</v>
      </c>
      <c r="AH254" s="904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909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909">
        <v>44179</v>
      </c>
      <c r="AH255" s="904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909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909">
        <v>44193</v>
      </c>
      <c r="AH256" s="904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909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909">
        <v>44208</v>
      </c>
      <c r="AH257" s="904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909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909">
        <v>44043</v>
      </c>
      <c r="AH258" s="904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909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909">
        <v>44055</v>
      </c>
      <c r="AH259" s="904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909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909">
        <v>44088</v>
      </c>
      <c r="AH260" s="904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909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909">
        <v>44117</v>
      </c>
      <c r="AH261" s="904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909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909">
        <v>44147</v>
      </c>
      <c r="AH262" s="904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909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909">
        <v>44179</v>
      </c>
      <c r="AH263" s="904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909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909">
        <v>44193</v>
      </c>
      <c r="AH264" s="904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909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909">
        <v>44208</v>
      </c>
      <c r="AH265" s="904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909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909">
        <v>44043</v>
      </c>
      <c r="AH266" s="904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909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909">
        <v>44055</v>
      </c>
      <c r="AH267" s="904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909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909">
        <v>44088</v>
      </c>
      <c r="AH268" s="904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909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909">
        <v>44117</v>
      </c>
      <c r="AH269" s="904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909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909">
        <v>44147</v>
      </c>
      <c r="AH270" s="904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909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909">
        <v>44179</v>
      </c>
      <c r="AH271" s="904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909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909">
        <v>44193</v>
      </c>
      <c r="AH272" s="904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909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909">
        <v>44208</v>
      </c>
      <c r="AH273" s="904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909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904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909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904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909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904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909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904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909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904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909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904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909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904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909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904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909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904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909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904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909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904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909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904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909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904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909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904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909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904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909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904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909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909">
        <v>44043</v>
      </c>
      <c r="AH290" s="904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909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909">
        <v>44055</v>
      </c>
      <c r="AH291" s="904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909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909">
        <v>44088</v>
      </c>
      <c r="AH292" s="904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909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909">
        <v>44117</v>
      </c>
      <c r="AH293" s="904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909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909">
        <v>44147</v>
      </c>
      <c r="AH294" s="904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909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909">
        <v>44179</v>
      </c>
      <c r="AH295" s="904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909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909">
        <v>44193</v>
      </c>
      <c r="AH296" s="904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909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909">
        <v>44208</v>
      </c>
      <c r="AH297" s="904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909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909">
        <v>44043</v>
      </c>
      <c r="AH298" s="904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909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909">
        <v>44055</v>
      </c>
      <c r="AH299" s="904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909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909">
        <v>44088</v>
      </c>
      <c r="AH300" s="904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909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909">
        <v>44117</v>
      </c>
      <c r="AH301" s="904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909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909">
        <v>44147</v>
      </c>
      <c r="AH302" s="904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909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909">
        <v>44179</v>
      </c>
      <c r="AH303" s="904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909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909">
        <v>44193</v>
      </c>
      <c r="AH304" s="904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909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909">
        <v>44208</v>
      </c>
      <c r="AH305" s="904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909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909">
        <v>44043</v>
      </c>
      <c r="AH306" s="904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909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909">
        <v>44055</v>
      </c>
      <c r="AH307" s="904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909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909">
        <v>44088</v>
      </c>
      <c r="AH308" s="904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909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909">
        <v>44117</v>
      </c>
      <c r="AH309" s="904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909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909">
        <v>44147</v>
      </c>
      <c r="AH310" s="904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909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909">
        <v>44179</v>
      </c>
      <c r="AH311" s="904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909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909">
        <v>44193</v>
      </c>
      <c r="AH312" s="904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909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909">
        <v>44208</v>
      </c>
      <c r="AH313" s="904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909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909">
        <v>44043</v>
      </c>
      <c r="AH314" s="904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909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909">
        <v>44055</v>
      </c>
      <c r="AH315" s="904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909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909">
        <v>44088</v>
      </c>
      <c r="AH316" s="904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909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909">
        <v>44117</v>
      </c>
      <c r="AH317" s="904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909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909">
        <v>44147</v>
      </c>
      <c r="AH318" s="904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909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909">
        <v>44179</v>
      </c>
      <c r="AH319" s="904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909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909">
        <v>44193</v>
      </c>
      <c r="AH320" s="904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909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909">
        <v>44208</v>
      </c>
      <c r="AH321" s="904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909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904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909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904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909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904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909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904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909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904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909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904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909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904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909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904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909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904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909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904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909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904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909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904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909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904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909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904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909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904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909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904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909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904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909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904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909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904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909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904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909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904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909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904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909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904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909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904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909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904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909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904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1030">
        <v>-3012884.08</v>
      </c>
      <c r="H348" s="234" t="s">
        <v>138</v>
      </c>
      <c r="I348" s="909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904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909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904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909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904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909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904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909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904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909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904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909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904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909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904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909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904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909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904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909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904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909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904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909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904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909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904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909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904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909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904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909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904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909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904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909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904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909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904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909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904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909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904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909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904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909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904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909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904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909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904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909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904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909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904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909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904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909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904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909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909">
        <v>44043</v>
      </c>
      <c r="AH378" s="904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909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909">
        <v>44055</v>
      </c>
      <c r="AH379" s="904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909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909">
        <v>44088</v>
      </c>
      <c r="AH380" s="904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909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909">
        <v>44117</v>
      </c>
      <c r="AH381" s="904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909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909">
        <v>44147</v>
      </c>
      <c r="AH382" s="904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909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909">
        <v>44179</v>
      </c>
      <c r="AH383" s="904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909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909">
        <v>44193</v>
      </c>
      <c r="AH384" s="904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909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909">
        <v>44208</v>
      </c>
      <c r="AH385" s="904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909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909">
        <v>44043</v>
      </c>
      <c r="AH386" s="904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909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909">
        <v>44055</v>
      </c>
      <c r="AH387" s="904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909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909">
        <v>44088</v>
      </c>
      <c r="AH388" s="904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909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909">
        <v>44117</v>
      </c>
      <c r="AH389" s="904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909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909">
        <v>44147</v>
      </c>
      <c r="AH390" s="904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909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909">
        <v>44179</v>
      </c>
      <c r="AH391" s="904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909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909">
        <v>44193</v>
      </c>
      <c r="AH392" s="904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909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909">
        <v>44208</v>
      </c>
      <c r="AH393" s="904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909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909">
        <v>44043</v>
      </c>
      <c r="AH394" s="904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909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909">
        <v>44055</v>
      </c>
      <c r="AH395" s="904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909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909">
        <v>44088</v>
      </c>
      <c r="AH396" s="904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909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909">
        <v>44117</v>
      </c>
      <c r="AH397" s="904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909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909">
        <v>44147</v>
      </c>
      <c r="AH398" s="904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909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909">
        <v>44179</v>
      </c>
      <c r="AH399" s="904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909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909">
        <v>44193</v>
      </c>
      <c r="AH400" s="904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909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909">
        <v>44208</v>
      </c>
      <c r="AH401" s="904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909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909">
        <v>44043</v>
      </c>
      <c r="AH402" s="904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909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909">
        <v>44055</v>
      </c>
      <c r="AH403" s="904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909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909">
        <v>44088</v>
      </c>
      <c r="AH404" s="904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909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909">
        <v>44117</v>
      </c>
      <c r="AH405" s="904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909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909">
        <v>44147</v>
      </c>
      <c r="AH406" s="904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909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909">
        <v>44179</v>
      </c>
      <c r="AH407" s="904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909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909">
        <v>44193</v>
      </c>
      <c r="AH408" s="904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909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909">
        <v>44208</v>
      </c>
      <c r="AH409" s="904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909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909">
        <v>44043</v>
      </c>
      <c r="AH410" s="904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909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909">
        <v>44055</v>
      </c>
      <c r="AH411" s="904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909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909">
        <v>44088</v>
      </c>
      <c r="AH412" s="904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909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909">
        <v>44117</v>
      </c>
      <c r="AH413" s="904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909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909">
        <v>44147</v>
      </c>
      <c r="AH414" s="904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909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909">
        <v>44179</v>
      </c>
      <c r="AH415" s="904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909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909">
        <v>44193</v>
      </c>
      <c r="AH416" s="904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909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909">
        <v>44208</v>
      </c>
      <c r="AH417" s="904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909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909">
        <v>44043</v>
      </c>
      <c r="AH418" s="904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909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909">
        <v>44055</v>
      </c>
      <c r="AH419" s="904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909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909">
        <v>44088</v>
      </c>
      <c r="AH420" s="904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909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909">
        <v>44117</v>
      </c>
      <c r="AH421" s="904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909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909">
        <v>44147</v>
      </c>
      <c r="AH422" s="904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909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909">
        <v>44179</v>
      </c>
      <c r="AH423" s="904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909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909">
        <v>44193</v>
      </c>
      <c r="AH424" s="904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909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909">
        <v>44208</v>
      </c>
      <c r="AH425" s="904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909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904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909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904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909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904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909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904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909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904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909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904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909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904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909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904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909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909">
        <v>44043</v>
      </c>
      <c r="AH434" s="904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909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909">
        <v>44055</v>
      </c>
      <c r="AH435" s="904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909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909">
        <v>44088</v>
      </c>
      <c r="AH436" s="904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909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909">
        <v>44117</v>
      </c>
      <c r="AH437" s="904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909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909">
        <v>44147</v>
      </c>
      <c r="AH438" s="904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909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909">
        <v>44179</v>
      </c>
      <c r="AH439" s="904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909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909">
        <v>44193</v>
      </c>
      <c r="AH440" s="904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909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909">
        <v>44208</v>
      </c>
      <c r="AH441" s="904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909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909">
        <v>44043</v>
      </c>
      <c r="AH442" s="904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909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909">
        <v>44055</v>
      </c>
      <c r="AH443" s="904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909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909">
        <v>44088</v>
      </c>
      <c r="AH444" s="904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909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909">
        <v>44117</v>
      </c>
      <c r="AH445" s="904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909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909">
        <v>44147</v>
      </c>
      <c r="AH446" s="904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909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909">
        <v>44179</v>
      </c>
      <c r="AH447" s="904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909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909">
        <v>44193</v>
      </c>
      <c r="AH448" s="904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909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909">
        <v>44208</v>
      </c>
      <c r="AH449" s="904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909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909">
        <v>44043</v>
      </c>
      <c r="AH450" s="904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909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909">
        <v>44055</v>
      </c>
      <c r="AH451" s="904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909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909">
        <v>44088</v>
      </c>
      <c r="AH452" s="904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909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909">
        <v>44117</v>
      </c>
      <c r="AH453" s="904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909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909">
        <v>44147</v>
      </c>
      <c r="AH454" s="904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909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909">
        <v>44179</v>
      </c>
      <c r="AH455" s="904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909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909">
        <v>44193</v>
      </c>
      <c r="AH456" s="904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909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909">
        <v>44208</v>
      </c>
      <c r="AH457" s="904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909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909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909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909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909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909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909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909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909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909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909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909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909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909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909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909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909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909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909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909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909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909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909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909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909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909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909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909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909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909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909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909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909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909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909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909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909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909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909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909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909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909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909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909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909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909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909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909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909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909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909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909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909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909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909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909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909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909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909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909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909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909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909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909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51"/>
  <sheetViews>
    <sheetView topLeftCell="I1" workbookViewId="0">
      <selection activeCell="G1" sqref="G1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3" t="s">
        <v>208</v>
      </c>
      <c r="K1" s="753" t="s">
        <v>214</v>
      </c>
      <c r="L1" s="753" t="s">
        <v>213</v>
      </c>
      <c r="M1" s="753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>
      <c r="A2" t="s">
        <v>2240</v>
      </c>
      <c r="B2" t="s">
        <v>2241</v>
      </c>
      <c r="C2" t="s">
        <v>2242</v>
      </c>
      <c r="D2" t="s">
        <v>2243</v>
      </c>
      <c r="E2" t="s">
        <v>2220</v>
      </c>
      <c r="F2">
        <v>202102</v>
      </c>
      <c r="G2" t="s">
        <v>215</v>
      </c>
      <c r="H2">
        <v>0</v>
      </c>
      <c r="J2" s="754">
        <f>CAPA!K12</f>
        <v>5377</v>
      </c>
      <c r="K2" s="754" t="s">
        <v>216</v>
      </c>
      <c r="L2" s="754" t="str">
        <f>"&gt;="&amp;K6</f>
        <v>&gt;=202105</v>
      </c>
      <c r="M2" s="754" t="str">
        <f>"&lt;="&amp;K7</f>
        <v>&lt;=202204</v>
      </c>
      <c r="O2" t="s">
        <v>2240</v>
      </c>
      <c r="P2" t="s">
        <v>2241</v>
      </c>
      <c r="Q2" t="s">
        <v>2242</v>
      </c>
      <c r="R2" t="s">
        <v>2243</v>
      </c>
      <c r="S2" t="s">
        <v>2220</v>
      </c>
      <c r="T2">
        <v>202105</v>
      </c>
      <c r="U2" t="s">
        <v>217</v>
      </c>
      <c r="V2">
        <v>1935.36</v>
      </c>
      <c r="X2" t="s">
        <v>2242</v>
      </c>
      <c r="Y2" t="s">
        <v>2243</v>
      </c>
      <c r="Z2" t="s">
        <v>2220</v>
      </c>
      <c r="AB2" t="s">
        <v>2242</v>
      </c>
      <c r="AC2" t="s">
        <v>2243</v>
      </c>
      <c r="AD2" t="s">
        <v>2220</v>
      </c>
      <c r="AE2" t="s">
        <v>217</v>
      </c>
      <c r="AH2" t="s">
        <v>2242</v>
      </c>
      <c r="AI2">
        <f>_xlfn.MAXIFS(F:F,C:C,AH2)</f>
        <v>202204</v>
      </c>
      <c r="AJ2">
        <f>IFERROR(ROUND((DATE(ROUND($K$7/100,0),$K$7-ROUND($K$7/100,0)*100,1)-DATE(ROUND(AI2/100,0),AI2-ROUND(AI2/100,0)*100,1))/30,0),"Nada")</f>
        <v>0</v>
      </c>
    </row>
    <row r="3" spans="1:36">
      <c r="A3" t="s">
        <v>2240</v>
      </c>
      <c r="B3" t="s">
        <v>2241</v>
      </c>
      <c r="C3" t="s">
        <v>2242</v>
      </c>
      <c r="D3" t="s">
        <v>2243</v>
      </c>
      <c r="E3" t="s">
        <v>2220</v>
      </c>
      <c r="F3">
        <v>202103</v>
      </c>
      <c r="G3" t="s">
        <v>215</v>
      </c>
      <c r="H3">
        <v>0</v>
      </c>
      <c r="J3" s="754">
        <f>J2</f>
        <v>5377</v>
      </c>
      <c r="K3" s="754" t="s">
        <v>218</v>
      </c>
      <c r="L3" s="754" t="str">
        <f>L2</f>
        <v>&gt;=202105</v>
      </c>
      <c r="M3" s="754" t="str">
        <f>M2</f>
        <v>&lt;=202204</v>
      </c>
      <c r="O3" t="s">
        <v>2240</v>
      </c>
      <c r="P3" t="s">
        <v>2241</v>
      </c>
      <c r="Q3" t="s">
        <v>2242</v>
      </c>
      <c r="R3" t="s">
        <v>2243</v>
      </c>
      <c r="S3" t="s">
        <v>2220</v>
      </c>
      <c r="T3">
        <v>202105</v>
      </c>
      <c r="U3" t="s">
        <v>219</v>
      </c>
      <c r="V3">
        <v>2049.6</v>
      </c>
      <c r="AB3" t="s">
        <v>2242</v>
      </c>
      <c r="AC3" t="s">
        <v>2243</v>
      </c>
      <c r="AD3" t="s">
        <v>2220</v>
      </c>
      <c r="AE3" t="s">
        <v>219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2240</v>
      </c>
      <c r="B4" t="s">
        <v>2241</v>
      </c>
      <c r="C4" t="s">
        <v>2242</v>
      </c>
      <c r="D4" t="s">
        <v>2243</v>
      </c>
      <c r="E4" t="s">
        <v>2220</v>
      </c>
      <c r="F4">
        <v>202104</v>
      </c>
      <c r="G4" t="s">
        <v>215</v>
      </c>
      <c r="H4">
        <v>0</v>
      </c>
      <c r="J4" s="756">
        <f>J3</f>
        <v>5377</v>
      </c>
      <c r="K4" s="754" t="s">
        <v>220</v>
      </c>
      <c r="L4" s="755" t="str">
        <f>L2</f>
        <v>&gt;=202105</v>
      </c>
      <c r="M4" s="755" t="str">
        <f>M2</f>
        <v>&lt;=202204</v>
      </c>
      <c r="O4" t="s">
        <v>2240</v>
      </c>
      <c r="P4" t="s">
        <v>2241</v>
      </c>
      <c r="Q4" t="s">
        <v>2242</v>
      </c>
      <c r="R4" t="s">
        <v>2243</v>
      </c>
      <c r="S4" t="s">
        <v>2220</v>
      </c>
      <c r="T4">
        <v>202106</v>
      </c>
      <c r="U4" t="s">
        <v>217</v>
      </c>
      <c r="V4">
        <v>1938.72</v>
      </c>
      <c r="AB4" t="s">
        <v>2242</v>
      </c>
      <c r="AC4" t="s">
        <v>2243</v>
      </c>
      <c r="AD4" t="s">
        <v>2220</v>
      </c>
      <c r="AE4" t="s">
        <v>221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2240</v>
      </c>
      <c r="B5" t="s">
        <v>2241</v>
      </c>
      <c r="C5" t="s">
        <v>2242</v>
      </c>
      <c r="D5" t="s">
        <v>2243</v>
      </c>
      <c r="E5" t="s">
        <v>2220</v>
      </c>
      <c r="F5">
        <v>202105</v>
      </c>
      <c r="G5" t="s">
        <v>215</v>
      </c>
      <c r="H5">
        <v>0</v>
      </c>
      <c r="J5" s="756">
        <f>J4</f>
        <v>5377</v>
      </c>
      <c r="K5" s="1011" t="s">
        <v>222</v>
      </c>
      <c r="L5" s="755" t="str">
        <f>L3</f>
        <v>&gt;=202105</v>
      </c>
      <c r="M5" s="755" t="str">
        <f>M3</f>
        <v>&lt;=202204</v>
      </c>
      <c r="O5" t="s">
        <v>2240</v>
      </c>
      <c r="P5" t="s">
        <v>2241</v>
      </c>
      <c r="Q5" t="s">
        <v>2242</v>
      </c>
      <c r="R5" t="s">
        <v>2243</v>
      </c>
      <c r="S5" t="s">
        <v>2220</v>
      </c>
      <c r="T5">
        <v>202106</v>
      </c>
      <c r="U5" t="s">
        <v>219</v>
      </c>
      <c r="V5">
        <v>1994.16</v>
      </c>
      <c r="AB5" t="s">
        <v>2242</v>
      </c>
      <c r="AC5" t="s">
        <v>2243</v>
      </c>
      <c r="AD5" t="s">
        <v>2220</v>
      </c>
      <c r="AE5" t="s">
        <v>223</v>
      </c>
      <c r="AI5">
        <f t="shared" si="0"/>
        <v>0</v>
      </c>
      <c r="AJ5" t="str">
        <f t="shared" si="1"/>
        <v>Nada</v>
      </c>
    </row>
    <row r="6" spans="1:36">
      <c r="A6" t="s">
        <v>2240</v>
      </c>
      <c r="B6" t="s">
        <v>2241</v>
      </c>
      <c r="C6" t="s">
        <v>2242</v>
      </c>
      <c r="D6" t="s">
        <v>2243</v>
      </c>
      <c r="E6" t="s">
        <v>2220</v>
      </c>
      <c r="F6">
        <v>202106</v>
      </c>
      <c r="G6" t="s">
        <v>215</v>
      </c>
      <c r="H6">
        <v>0</v>
      </c>
      <c r="J6" t="s">
        <v>224</v>
      </c>
      <c r="K6">
        <f>(YEAR(SAS_RA0_DataInicio)*100+MONTH(SAS_RA0_DataInicio))</f>
        <v>202105</v>
      </c>
      <c r="O6" t="s">
        <v>2240</v>
      </c>
      <c r="P6" t="s">
        <v>2241</v>
      </c>
      <c r="Q6" t="s">
        <v>2242</v>
      </c>
      <c r="R6" t="s">
        <v>2243</v>
      </c>
      <c r="S6" t="s">
        <v>2220</v>
      </c>
      <c r="T6">
        <v>202107</v>
      </c>
      <c r="U6" t="s">
        <v>217</v>
      </c>
      <c r="V6">
        <v>1915.2</v>
      </c>
      <c r="AB6" t="s">
        <v>2242</v>
      </c>
      <c r="AC6" t="s">
        <v>2243</v>
      </c>
      <c r="AD6" t="s">
        <v>2220</v>
      </c>
      <c r="AE6" t="s">
        <v>225</v>
      </c>
      <c r="AI6">
        <f t="shared" si="0"/>
        <v>0</v>
      </c>
      <c r="AJ6" t="str">
        <f t="shared" si="1"/>
        <v>Nada</v>
      </c>
    </row>
    <row r="7" spans="1:36">
      <c r="A7" t="s">
        <v>2240</v>
      </c>
      <c r="B7" t="s">
        <v>2241</v>
      </c>
      <c r="C7" t="s">
        <v>2242</v>
      </c>
      <c r="D7" t="s">
        <v>2243</v>
      </c>
      <c r="E7" t="s">
        <v>2220</v>
      </c>
      <c r="F7">
        <v>202107</v>
      </c>
      <c r="G7" t="s">
        <v>215</v>
      </c>
      <c r="H7">
        <v>0</v>
      </c>
      <c r="J7" t="s">
        <v>226</v>
      </c>
      <c r="K7">
        <f>YEAR(SAS_RA0_DataFim)*100+MONTH(SAS_RA0_DataFim)</f>
        <v>202204</v>
      </c>
      <c r="O7" t="s">
        <v>2240</v>
      </c>
      <c r="P7" t="s">
        <v>2241</v>
      </c>
      <c r="Q7" t="s">
        <v>2242</v>
      </c>
      <c r="R7" t="s">
        <v>2243</v>
      </c>
      <c r="S7" t="s">
        <v>2220</v>
      </c>
      <c r="T7">
        <v>202107</v>
      </c>
      <c r="U7" t="s">
        <v>219</v>
      </c>
      <c r="V7">
        <v>2004.8</v>
      </c>
      <c r="AI7">
        <f t="shared" si="0"/>
        <v>0</v>
      </c>
      <c r="AJ7" t="str">
        <f t="shared" si="1"/>
        <v>Nada</v>
      </c>
    </row>
    <row r="8" spans="1:36">
      <c r="A8" t="s">
        <v>2240</v>
      </c>
      <c r="B8" t="s">
        <v>2241</v>
      </c>
      <c r="C8" t="s">
        <v>2242</v>
      </c>
      <c r="D8" t="s">
        <v>2243</v>
      </c>
      <c r="E8" t="s">
        <v>2220</v>
      </c>
      <c r="F8">
        <v>202108</v>
      </c>
      <c r="G8" t="s">
        <v>215</v>
      </c>
      <c r="H8">
        <v>0</v>
      </c>
      <c r="J8" t="s">
        <v>227</v>
      </c>
      <c r="K8" s="661">
        <f>MAX(AI:AI)</f>
        <v>202204</v>
      </c>
      <c r="O8" t="s">
        <v>2240</v>
      </c>
      <c r="P8" t="s">
        <v>2241</v>
      </c>
      <c r="Q8" t="s">
        <v>2242</v>
      </c>
      <c r="R8" t="s">
        <v>2243</v>
      </c>
      <c r="S8" t="s">
        <v>2220</v>
      </c>
      <c r="T8">
        <v>202108</v>
      </c>
      <c r="U8" t="s">
        <v>217</v>
      </c>
      <c r="V8">
        <v>1963.92</v>
      </c>
      <c r="AI8">
        <f t="shared" si="0"/>
        <v>0</v>
      </c>
      <c r="AJ8" t="str">
        <f t="shared" si="1"/>
        <v>Nada</v>
      </c>
    </row>
    <row r="9" spans="1:36">
      <c r="A9" t="s">
        <v>2240</v>
      </c>
      <c r="B9" t="s">
        <v>2241</v>
      </c>
      <c r="C9" t="s">
        <v>2242</v>
      </c>
      <c r="D9" t="s">
        <v>2243</v>
      </c>
      <c r="E9" t="s">
        <v>2220</v>
      </c>
      <c r="F9">
        <v>202109</v>
      </c>
      <c r="G9" t="s">
        <v>215</v>
      </c>
      <c r="H9">
        <v>0</v>
      </c>
      <c r="J9" t="s">
        <v>229</v>
      </c>
      <c r="K9" s="661">
        <f>MAX(AJ:AJ)</f>
        <v>0</v>
      </c>
      <c r="O9" t="s">
        <v>2240</v>
      </c>
      <c r="P9" t="s">
        <v>2241</v>
      </c>
      <c r="Q9" t="s">
        <v>2242</v>
      </c>
      <c r="R9" t="s">
        <v>2243</v>
      </c>
      <c r="S9" t="s">
        <v>2220</v>
      </c>
      <c r="T9">
        <v>202108</v>
      </c>
      <c r="U9" t="s">
        <v>219</v>
      </c>
      <c r="V9">
        <v>2038.4</v>
      </c>
    </row>
    <row r="10" spans="1:36">
      <c r="A10" t="s">
        <v>2240</v>
      </c>
      <c r="B10" t="s">
        <v>2241</v>
      </c>
      <c r="C10" t="s">
        <v>2242</v>
      </c>
      <c r="D10" t="s">
        <v>2243</v>
      </c>
      <c r="E10" t="s">
        <v>2220</v>
      </c>
      <c r="F10">
        <v>202110</v>
      </c>
      <c r="G10" t="s">
        <v>215</v>
      </c>
      <c r="H10">
        <v>0</v>
      </c>
      <c r="O10" t="s">
        <v>2240</v>
      </c>
      <c r="P10" t="s">
        <v>2241</v>
      </c>
      <c r="Q10" t="s">
        <v>2242</v>
      </c>
      <c r="R10" t="s">
        <v>2243</v>
      </c>
      <c r="S10" t="s">
        <v>2220</v>
      </c>
      <c r="T10">
        <v>202109</v>
      </c>
      <c r="U10" t="s">
        <v>217</v>
      </c>
      <c r="V10">
        <v>2009.28</v>
      </c>
    </row>
    <row r="11" spans="1:36">
      <c r="A11" t="s">
        <v>2240</v>
      </c>
      <c r="B11" t="s">
        <v>2241</v>
      </c>
      <c r="C11" t="s">
        <v>2242</v>
      </c>
      <c r="D11" t="s">
        <v>2243</v>
      </c>
      <c r="E11" t="s">
        <v>2220</v>
      </c>
      <c r="F11">
        <v>202111</v>
      </c>
      <c r="G11" t="s">
        <v>215</v>
      </c>
      <c r="H11">
        <v>0</v>
      </c>
      <c r="J11" s="826">
        <f>VALUE(A2)</f>
        <v>5377</v>
      </c>
      <c r="O11" t="s">
        <v>2240</v>
      </c>
      <c r="P11" t="s">
        <v>2241</v>
      </c>
      <c r="Q11" t="s">
        <v>2242</v>
      </c>
      <c r="R11" t="s">
        <v>2243</v>
      </c>
      <c r="S11" t="s">
        <v>2220</v>
      </c>
      <c r="T11">
        <v>202109</v>
      </c>
      <c r="U11" t="s">
        <v>219</v>
      </c>
      <c r="V11">
        <v>2058</v>
      </c>
    </row>
    <row r="12" spans="1:36">
      <c r="A12" t="s">
        <v>2240</v>
      </c>
      <c r="B12" t="s">
        <v>2241</v>
      </c>
      <c r="C12" t="s">
        <v>2242</v>
      </c>
      <c r="D12" t="s">
        <v>2243</v>
      </c>
      <c r="E12" t="s">
        <v>2220</v>
      </c>
      <c r="F12">
        <v>202112</v>
      </c>
      <c r="G12" t="s">
        <v>215</v>
      </c>
      <c r="H12">
        <v>0</v>
      </c>
      <c r="K12" s="8"/>
      <c r="O12" t="s">
        <v>2240</v>
      </c>
      <c r="P12" t="s">
        <v>2241</v>
      </c>
      <c r="Q12" t="s">
        <v>2242</v>
      </c>
      <c r="R12" t="s">
        <v>2243</v>
      </c>
      <c r="S12" t="s">
        <v>2220</v>
      </c>
      <c r="T12">
        <v>202110</v>
      </c>
      <c r="U12" t="s">
        <v>217</v>
      </c>
      <c r="V12">
        <v>2042.88</v>
      </c>
    </row>
    <row r="13" spans="1:36">
      <c r="A13" t="s">
        <v>2240</v>
      </c>
      <c r="B13" t="s">
        <v>2241</v>
      </c>
      <c r="C13" t="s">
        <v>2242</v>
      </c>
      <c r="D13" t="s">
        <v>2243</v>
      </c>
      <c r="E13" t="s">
        <v>2220</v>
      </c>
      <c r="F13">
        <v>202201</v>
      </c>
      <c r="G13" t="s">
        <v>215</v>
      </c>
      <c r="H13">
        <v>0</v>
      </c>
      <c r="O13" t="s">
        <v>2240</v>
      </c>
      <c r="P13" t="s">
        <v>2241</v>
      </c>
      <c r="Q13" t="s">
        <v>2242</v>
      </c>
      <c r="R13" t="s">
        <v>2243</v>
      </c>
      <c r="S13" t="s">
        <v>2220</v>
      </c>
      <c r="T13">
        <v>202110</v>
      </c>
      <c r="U13" t="s">
        <v>219</v>
      </c>
      <c r="V13">
        <v>2051.2800000000002</v>
      </c>
    </row>
    <row r="14" spans="1:36">
      <c r="A14" t="s">
        <v>2240</v>
      </c>
      <c r="B14" t="s">
        <v>2241</v>
      </c>
      <c r="C14" t="s">
        <v>2242</v>
      </c>
      <c r="D14" t="s">
        <v>2243</v>
      </c>
      <c r="E14" t="s">
        <v>2220</v>
      </c>
      <c r="F14">
        <v>202202</v>
      </c>
      <c r="G14" t="s">
        <v>215</v>
      </c>
      <c r="H14">
        <v>0</v>
      </c>
      <c r="O14" t="s">
        <v>2240</v>
      </c>
      <c r="P14" t="s">
        <v>2241</v>
      </c>
      <c r="Q14" t="s">
        <v>2242</v>
      </c>
      <c r="R14" t="s">
        <v>2243</v>
      </c>
      <c r="S14" t="s">
        <v>2220</v>
      </c>
      <c r="T14">
        <v>202111</v>
      </c>
      <c r="U14" t="s">
        <v>217</v>
      </c>
      <c r="V14">
        <v>2010.96</v>
      </c>
    </row>
    <row r="15" spans="1:36">
      <c r="A15" t="s">
        <v>2240</v>
      </c>
      <c r="B15" t="s">
        <v>2241</v>
      </c>
      <c r="C15" t="s">
        <v>2242</v>
      </c>
      <c r="D15" t="s">
        <v>2243</v>
      </c>
      <c r="E15" t="s">
        <v>2220</v>
      </c>
      <c r="F15">
        <v>202203</v>
      </c>
      <c r="G15" t="s">
        <v>215</v>
      </c>
      <c r="H15">
        <v>0</v>
      </c>
      <c r="O15" t="s">
        <v>2240</v>
      </c>
      <c r="P15" t="s">
        <v>2241</v>
      </c>
      <c r="Q15" t="s">
        <v>2242</v>
      </c>
      <c r="R15" t="s">
        <v>2243</v>
      </c>
      <c r="S15" t="s">
        <v>2220</v>
      </c>
      <c r="T15">
        <v>202111</v>
      </c>
      <c r="U15" t="s">
        <v>219</v>
      </c>
      <c r="V15">
        <v>2068.08</v>
      </c>
    </row>
    <row r="16" spans="1:36">
      <c r="A16" t="s">
        <v>2240</v>
      </c>
      <c r="B16" t="s">
        <v>2241</v>
      </c>
      <c r="C16" t="s">
        <v>2242</v>
      </c>
      <c r="D16" t="s">
        <v>2243</v>
      </c>
      <c r="E16" t="s">
        <v>2220</v>
      </c>
      <c r="F16">
        <v>202204</v>
      </c>
      <c r="G16" t="s">
        <v>215</v>
      </c>
      <c r="H16">
        <v>0</v>
      </c>
      <c r="O16" t="s">
        <v>2240</v>
      </c>
      <c r="P16" t="s">
        <v>2241</v>
      </c>
      <c r="Q16" t="s">
        <v>2242</v>
      </c>
      <c r="R16" t="s">
        <v>2243</v>
      </c>
      <c r="S16" t="s">
        <v>2220</v>
      </c>
      <c r="T16">
        <v>202112</v>
      </c>
      <c r="U16" t="s">
        <v>217</v>
      </c>
      <c r="V16">
        <v>2037.84</v>
      </c>
    </row>
    <row r="17" spans="1:22">
      <c r="A17" t="s">
        <v>2240</v>
      </c>
      <c r="B17" t="s">
        <v>2241</v>
      </c>
      <c r="C17" t="s">
        <v>2242</v>
      </c>
      <c r="D17" t="s">
        <v>2243</v>
      </c>
      <c r="E17" t="s">
        <v>2220</v>
      </c>
      <c r="F17">
        <v>202102</v>
      </c>
      <c r="G17" t="s">
        <v>228</v>
      </c>
      <c r="H17">
        <v>11907.7</v>
      </c>
      <c r="O17" t="s">
        <v>2240</v>
      </c>
      <c r="P17" t="s">
        <v>2241</v>
      </c>
      <c r="Q17" t="s">
        <v>2242</v>
      </c>
      <c r="R17" t="s">
        <v>2243</v>
      </c>
      <c r="S17" t="s">
        <v>2220</v>
      </c>
      <c r="T17">
        <v>202112</v>
      </c>
      <c r="U17" t="s">
        <v>219</v>
      </c>
      <c r="V17">
        <v>2155.44</v>
      </c>
    </row>
    <row r="18" spans="1:22">
      <c r="A18" t="s">
        <v>2240</v>
      </c>
      <c r="B18" t="s">
        <v>2241</v>
      </c>
      <c r="C18" t="s">
        <v>2242</v>
      </c>
      <c r="D18" t="s">
        <v>2243</v>
      </c>
      <c r="E18" t="s">
        <v>2220</v>
      </c>
      <c r="F18">
        <v>202103</v>
      </c>
      <c r="G18" t="s">
        <v>228</v>
      </c>
      <c r="H18">
        <v>13066.81</v>
      </c>
      <c r="O18" t="s">
        <v>2240</v>
      </c>
      <c r="P18" t="s">
        <v>2241</v>
      </c>
      <c r="Q18" t="s">
        <v>2242</v>
      </c>
      <c r="R18" t="s">
        <v>2243</v>
      </c>
      <c r="S18" t="s">
        <v>2220</v>
      </c>
      <c r="T18">
        <v>202201</v>
      </c>
      <c r="U18" t="s">
        <v>217</v>
      </c>
      <c r="V18">
        <v>2093.2800000000002</v>
      </c>
    </row>
    <row r="19" spans="1:22">
      <c r="A19" t="s">
        <v>2240</v>
      </c>
      <c r="B19" t="s">
        <v>2241</v>
      </c>
      <c r="C19" t="s">
        <v>2242</v>
      </c>
      <c r="D19" t="s">
        <v>2243</v>
      </c>
      <c r="E19" t="s">
        <v>2220</v>
      </c>
      <c r="F19">
        <v>202104</v>
      </c>
      <c r="G19" t="s">
        <v>228</v>
      </c>
      <c r="H19">
        <v>12190.82</v>
      </c>
      <c r="O19" t="s">
        <v>2240</v>
      </c>
      <c r="P19" t="s">
        <v>2241</v>
      </c>
      <c r="Q19" t="s">
        <v>2242</v>
      </c>
      <c r="R19" t="s">
        <v>2243</v>
      </c>
      <c r="S19" t="s">
        <v>2220</v>
      </c>
      <c r="T19">
        <v>202201</v>
      </c>
      <c r="U19" t="s">
        <v>219</v>
      </c>
      <c r="V19">
        <v>2130.2399999999998</v>
      </c>
    </row>
    <row r="20" spans="1:22">
      <c r="A20" t="s">
        <v>2240</v>
      </c>
      <c r="B20" t="s">
        <v>2241</v>
      </c>
      <c r="C20" t="s">
        <v>2242</v>
      </c>
      <c r="D20" t="s">
        <v>2243</v>
      </c>
      <c r="E20" t="s">
        <v>2220</v>
      </c>
      <c r="F20">
        <v>202105</v>
      </c>
      <c r="G20" t="s">
        <v>228</v>
      </c>
      <c r="H20">
        <v>12115.76</v>
      </c>
      <c r="O20" t="s">
        <v>2240</v>
      </c>
      <c r="P20" t="s">
        <v>2241</v>
      </c>
      <c r="Q20" t="s">
        <v>2242</v>
      </c>
      <c r="R20" t="s">
        <v>2243</v>
      </c>
      <c r="S20" t="s">
        <v>2220</v>
      </c>
      <c r="T20">
        <v>202202</v>
      </c>
      <c r="U20" t="s">
        <v>217</v>
      </c>
      <c r="V20">
        <v>2140.3200000000002</v>
      </c>
    </row>
    <row r="21" spans="1:22">
      <c r="A21" t="s">
        <v>2240</v>
      </c>
      <c r="B21" t="s">
        <v>2241</v>
      </c>
      <c r="C21" t="s">
        <v>2242</v>
      </c>
      <c r="D21" t="s">
        <v>2243</v>
      </c>
      <c r="E21" t="s">
        <v>2220</v>
      </c>
      <c r="F21">
        <v>202106</v>
      </c>
      <c r="G21" t="s">
        <v>228</v>
      </c>
      <c r="H21">
        <v>12498.33</v>
      </c>
      <c r="O21" t="s">
        <v>2240</v>
      </c>
      <c r="P21" t="s">
        <v>2241</v>
      </c>
      <c r="Q21" t="s">
        <v>2242</v>
      </c>
      <c r="R21" t="s">
        <v>2243</v>
      </c>
      <c r="S21" t="s">
        <v>2220</v>
      </c>
      <c r="T21">
        <v>202202</v>
      </c>
      <c r="U21" t="s">
        <v>219</v>
      </c>
      <c r="V21">
        <v>2150.4</v>
      </c>
    </row>
    <row r="22" spans="1:22">
      <c r="A22" t="s">
        <v>2240</v>
      </c>
      <c r="B22" t="s">
        <v>2241</v>
      </c>
      <c r="C22" t="s">
        <v>2242</v>
      </c>
      <c r="D22" t="s">
        <v>2243</v>
      </c>
      <c r="E22" t="s">
        <v>2220</v>
      </c>
      <c r="F22">
        <v>202107</v>
      </c>
      <c r="G22" t="s">
        <v>228</v>
      </c>
      <c r="H22">
        <v>12206.86</v>
      </c>
      <c r="O22" t="s">
        <v>2240</v>
      </c>
      <c r="P22" t="s">
        <v>2241</v>
      </c>
      <c r="Q22" t="s">
        <v>2242</v>
      </c>
      <c r="R22" t="s">
        <v>2243</v>
      </c>
      <c r="S22" t="s">
        <v>2220</v>
      </c>
      <c r="T22">
        <v>202203</v>
      </c>
      <c r="U22" t="s">
        <v>217</v>
      </c>
      <c r="V22">
        <v>2083.1999999999998</v>
      </c>
    </row>
    <row r="23" spans="1:22">
      <c r="A23" t="s">
        <v>2240</v>
      </c>
      <c r="B23" t="s">
        <v>2241</v>
      </c>
      <c r="C23" t="s">
        <v>2242</v>
      </c>
      <c r="D23" t="s">
        <v>2243</v>
      </c>
      <c r="E23" t="s">
        <v>2220</v>
      </c>
      <c r="F23">
        <v>202108</v>
      </c>
      <c r="G23" t="s">
        <v>228</v>
      </c>
      <c r="H23">
        <v>12726.96</v>
      </c>
      <c r="O23" t="s">
        <v>2240</v>
      </c>
      <c r="P23" t="s">
        <v>2241</v>
      </c>
      <c r="Q23" t="s">
        <v>2242</v>
      </c>
      <c r="R23" t="s">
        <v>2243</v>
      </c>
      <c r="S23" t="s">
        <v>2220</v>
      </c>
      <c r="T23">
        <v>202203</v>
      </c>
      <c r="U23" t="s">
        <v>219</v>
      </c>
      <c r="V23">
        <v>2083.1999999999998</v>
      </c>
    </row>
    <row r="24" spans="1:22">
      <c r="A24" t="s">
        <v>2240</v>
      </c>
      <c r="B24" t="s">
        <v>2241</v>
      </c>
      <c r="C24" t="s">
        <v>2242</v>
      </c>
      <c r="D24" t="s">
        <v>2243</v>
      </c>
      <c r="E24" t="s">
        <v>2220</v>
      </c>
      <c r="F24">
        <v>202109</v>
      </c>
      <c r="G24" t="s">
        <v>228</v>
      </c>
      <c r="H24">
        <v>12812.23</v>
      </c>
      <c r="O24" t="s">
        <v>2240</v>
      </c>
      <c r="P24" t="s">
        <v>2241</v>
      </c>
      <c r="Q24" t="s">
        <v>2242</v>
      </c>
      <c r="R24" t="s">
        <v>2243</v>
      </c>
      <c r="S24" t="s">
        <v>2220</v>
      </c>
      <c r="T24">
        <v>202204</v>
      </c>
      <c r="U24" t="s">
        <v>217</v>
      </c>
      <c r="V24">
        <v>2105.04</v>
      </c>
    </row>
    <row r="25" spans="1:22">
      <c r="A25" t="s">
        <v>2240</v>
      </c>
      <c r="B25" t="s">
        <v>2241</v>
      </c>
      <c r="C25" t="s">
        <v>2242</v>
      </c>
      <c r="D25" t="s">
        <v>2243</v>
      </c>
      <c r="E25" t="s">
        <v>2220</v>
      </c>
      <c r="F25">
        <v>202110</v>
      </c>
      <c r="G25" t="s">
        <v>228</v>
      </c>
      <c r="H25">
        <v>13873.64</v>
      </c>
      <c r="O25" t="s">
        <v>2240</v>
      </c>
      <c r="P25" t="s">
        <v>2241</v>
      </c>
      <c r="Q25" t="s">
        <v>2242</v>
      </c>
      <c r="R25" t="s">
        <v>2243</v>
      </c>
      <c r="S25" t="s">
        <v>2220</v>
      </c>
      <c r="T25">
        <v>202204</v>
      </c>
      <c r="U25" t="s">
        <v>219</v>
      </c>
      <c r="V25">
        <v>2162.16</v>
      </c>
    </row>
    <row r="26" spans="1:22">
      <c r="A26" t="s">
        <v>2240</v>
      </c>
      <c r="B26" t="s">
        <v>2241</v>
      </c>
      <c r="C26" t="s">
        <v>2242</v>
      </c>
      <c r="D26" t="s">
        <v>2243</v>
      </c>
      <c r="E26" t="s">
        <v>2220</v>
      </c>
      <c r="F26">
        <v>202111</v>
      </c>
      <c r="G26" t="s">
        <v>228</v>
      </c>
      <c r="H26">
        <v>13620.29</v>
      </c>
      <c r="O26" t="s">
        <v>2240</v>
      </c>
      <c r="P26" t="s">
        <v>2241</v>
      </c>
      <c r="Q26" t="s">
        <v>2242</v>
      </c>
      <c r="R26" t="s">
        <v>2243</v>
      </c>
      <c r="S26" t="s">
        <v>2220</v>
      </c>
      <c r="T26">
        <v>202105</v>
      </c>
      <c r="U26" t="s">
        <v>230</v>
      </c>
      <c r="V26">
        <v>889167</v>
      </c>
    </row>
    <row r="27" spans="1:22">
      <c r="A27" t="s">
        <v>2240</v>
      </c>
      <c r="B27" t="s">
        <v>2241</v>
      </c>
      <c r="C27" t="s">
        <v>2242</v>
      </c>
      <c r="D27" t="s">
        <v>2243</v>
      </c>
      <c r="E27" t="s">
        <v>2220</v>
      </c>
      <c r="F27">
        <v>202112</v>
      </c>
      <c r="G27" t="s">
        <v>228</v>
      </c>
      <c r="H27">
        <v>14104.4</v>
      </c>
      <c r="O27" t="s">
        <v>2240</v>
      </c>
      <c r="P27" t="s">
        <v>2241</v>
      </c>
      <c r="Q27" t="s">
        <v>2242</v>
      </c>
      <c r="R27" t="s">
        <v>2243</v>
      </c>
      <c r="S27" t="s">
        <v>2220</v>
      </c>
      <c r="T27">
        <v>202105</v>
      </c>
      <c r="U27" t="s">
        <v>231</v>
      </c>
      <c r="V27">
        <v>114601</v>
      </c>
    </row>
    <row r="28" spans="1:22">
      <c r="A28" t="s">
        <v>2240</v>
      </c>
      <c r="B28" t="s">
        <v>2241</v>
      </c>
      <c r="C28" t="s">
        <v>2242</v>
      </c>
      <c r="D28" t="s">
        <v>2243</v>
      </c>
      <c r="E28" t="s">
        <v>2220</v>
      </c>
      <c r="F28">
        <v>202201</v>
      </c>
      <c r="G28" t="s">
        <v>228</v>
      </c>
      <c r="H28">
        <v>14362.92</v>
      </c>
      <c r="O28" t="s">
        <v>2240</v>
      </c>
      <c r="P28" t="s">
        <v>2241</v>
      </c>
      <c r="Q28" t="s">
        <v>2242</v>
      </c>
      <c r="R28" t="s">
        <v>2243</v>
      </c>
      <c r="S28" t="s">
        <v>2220</v>
      </c>
      <c r="T28">
        <v>202105</v>
      </c>
      <c r="U28" t="s">
        <v>221</v>
      </c>
      <c r="V28">
        <v>903063</v>
      </c>
    </row>
    <row r="29" spans="1:22">
      <c r="A29" t="s">
        <v>2240</v>
      </c>
      <c r="B29" t="s">
        <v>2241</v>
      </c>
      <c r="C29" t="s">
        <v>2242</v>
      </c>
      <c r="D29" t="s">
        <v>2243</v>
      </c>
      <c r="E29" t="s">
        <v>2220</v>
      </c>
      <c r="F29">
        <v>202202</v>
      </c>
      <c r="G29" t="s">
        <v>228</v>
      </c>
      <c r="H29">
        <v>18872.689999999999</v>
      </c>
      <c r="O29" t="s">
        <v>2240</v>
      </c>
      <c r="P29" t="s">
        <v>2241</v>
      </c>
      <c r="Q29" t="s">
        <v>2242</v>
      </c>
      <c r="R29" t="s">
        <v>2243</v>
      </c>
      <c r="S29" t="s">
        <v>2220</v>
      </c>
      <c r="T29">
        <v>202105</v>
      </c>
      <c r="U29" t="s">
        <v>223</v>
      </c>
      <c r="V29">
        <v>114601</v>
      </c>
    </row>
    <row r="30" spans="1:22">
      <c r="A30" t="s">
        <v>2240</v>
      </c>
      <c r="B30" t="s">
        <v>2241</v>
      </c>
      <c r="C30" t="s">
        <v>2242</v>
      </c>
      <c r="D30" t="s">
        <v>2243</v>
      </c>
      <c r="E30" t="s">
        <v>2220</v>
      </c>
      <c r="F30">
        <v>202203</v>
      </c>
      <c r="G30" t="s">
        <v>228</v>
      </c>
      <c r="H30">
        <v>15723.49</v>
      </c>
      <c r="O30" t="s">
        <v>2240</v>
      </c>
      <c r="P30" t="s">
        <v>2241</v>
      </c>
      <c r="Q30" t="s">
        <v>2242</v>
      </c>
      <c r="R30" t="s">
        <v>2243</v>
      </c>
      <c r="S30" t="s">
        <v>2220</v>
      </c>
      <c r="T30">
        <v>202105</v>
      </c>
      <c r="U30" t="s">
        <v>225</v>
      </c>
      <c r="V30">
        <v>13896</v>
      </c>
    </row>
    <row r="31" spans="1:22">
      <c r="A31" t="s">
        <v>2240</v>
      </c>
      <c r="B31" t="s">
        <v>2241</v>
      </c>
      <c r="C31" t="s">
        <v>2242</v>
      </c>
      <c r="D31" t="s">
        <v>2243</v>
      </c>
      <c r="E31" t="s">
        <v>2220</v>
      </c>
      <c r="F31">
        <v>202204</v>
      </c>
      <c r="G31" t="s">
        <v>228</v>
      </c>
      <c r="H31">
        <v>14243.53</v>
      </c>
      <c r="O31" t="s">
        <v>2240</v>
      </c>
      <c r="P31" t="s">
        <v>2241</v>
      </c>
      <c r="Q31" t="s">
        <v>2242</v>
      </c>
      <c r="R31" t="s">
        <v>2243</v>
      </c>
      <c r="S31" t="s">
        <v>2220</v>
      </c>
      <c r="T31">
        <v>202106</v>
      </c>
      <c r="U31" t="s">
        <v>230</v>
      </c>
      <c r="V31">
        <v>855897</v>
      </c>
    </row>
    <row r="32" spans="1:22">
      <c r="A32" t="s">
        <v>2240</v>
      </c>
      <c r="B32" t="s">
        <v>2241</v>
      </c>
      <c r="C32" t="s">
        <v>2242</v>
      </c>
      <c r="D32" t="s">
        <v>2243</v>
      </c>
      <c r="E32" t="s">
        <v>2220</v>
      </c>
      <c r="F32">
        <v>202102</v>
      </c>
      <c r="G32" t="s">
        <v>232</v>
      </c>
      <c r="H32">
        <v>0</v>
      </c>
      <c r="O32" t="s">
        <v>2240</v>
      </c>
      <c r="P32" t="s">
        <v>2241</v>
      </c>
      <c r="Q32" t="s">
        <v>2242</v>
      </c>
      <c r="R32" t="s">
        <v>2243</v>
      </c>
      <c r="S32" t="s">
        <v>2220</v>
      </c>
      <c r="T32">
        <v>202106</v>
      </c>
      <c r="U32" t="s">
        <v>231</v>
      </c>
      <c r="V32">
        <v>115446</v>
      </c>
    </row>
    <row r="33" spans="1:22">
      <c r="A33" t="s">
        <v>2240</v>
      </c>
      <c r="B33" t="s">
        <v>2241</v>
      </c>
      <c r="C33" t="s">
        <v>2242</v>
      </c>
      <c r="D33" t="s">
        <v>2243</v>
      </c>
      <c r="E33" t="s">
        <v>2220</v>
      </c>
      <c r="F33">
        <v>202103</v>
      </c>
      <c r="G33" t="s">
        <v>232</v>
      </c>
      <c r="H33">
        <v>0</v>
      </c>
      <c r="O33" t="s">
        <v>2240</v>
      </c>
      <c r="P33" t="s">
        <v>2241</v>
      </c>
      <c r="Q33" t="s">
        <v>2242</v>
      </c>
      <c r="R33" t="s">
        <v>2243</v>
      </c>
      <c r="S33" t="s">
        <v>2220</v>
      </c>
      <c r="T33">
        <v>202106</v>
      </c>
      <c r="U33" t="s">
        <v>221</v>
      </c>
      <c r="V33">
        <v>870153</v>
      </c>
    </row>
    <row r="34" spans="1:22">
      <c r="A34" t="s">
        <v>2240</v>
      </c>
      <c r="B34" t="s">
        <v>2241</v>
      </c>
      <c r="C34" t="s">
        <v>2242</v>
      </c>
      <c r="D34" t="s">
        <v>2243</v>
      </c>
      <c r="E34" t="s">
        <v>2220</v>
      </c>
      <c r="F34">
        <v>202104</v>
      </c>
      <c r="G34" t="s">
        <v>232</v>
      </c>
      <c r="H34">
        <v>0</v>
      </c>
      <c r="O34" t="s">
        <v>2240</v>
      </c>
      <c r="P34" t="s">
        <v>2241</v>
      </c>
      <c r="Q34" t="s">
        <v>2242</v>
      </c>
      <c r="R34" t="s">
        <v>2243</v>
      </c>
      <c r="S34" t="s">
        <v>2220</v>
      </c>
      <c r="T34">
        <v>202106</v>
      </c>
      <c r="U34" t="s">
        <v>223</v>
      </c>
      <c r="V34">
        <v>115446</v>
      </c>
    </row>
    <row r="35" spans="1:22">
      <c r="A35" t="s">
        <v>2240</v>
      </c>
      <c r="B35" t="s">
        <v>2241</v>
      </c>
      <c r="C35" t="s">
        <v>2242</v>
      </c>
      <c r="D35" t="s">
        <v>2243</v>
      </c>
      <c r="E35" t="s">
        <v>2220</v>
      </c>
      <c r="F35">
        <v>202105</v>
      </c>
      <c r="G35" t="s">
        <v>232</v>
      </c>
      <c r="H35">
        <v>0</v>
      </c>
      <c r="O35" t="s">
        <v>2240</v>
      </c>
      <c r="P35" t="s">
        <v>2241</v>
      </c>
      <c r="Q35" t="s">
        <v>2242</v>
      </c>
      <c r="R35" t="s">
        <v>2243</v>
      </c>
      <c r="S35" t="s">
        <v>2220</v>
      </c>
      <c r="T35">
        <v>202106</v>
      </c>
      <c r="U35" t="s">
        <v>225</v>
      </c>
      <c r="V35">
        <v>14256</v>
      </c>
    </row>
    <row r="36" spans="1:22">
      <c r="A36" t="s">
        <v>2240</v>
      </c>
      <c r="B36" t="s">
        <v>2241</v>
      </c>
      <c r="C36" t="s">
        <v>2242</v>
      </c>
      <c r="D36" t="s">
        <v>2243</v>
      </c>
      <c r="E36" t="s">
        <v>2220</v>
      </c>
      <c r="F36">
        <v>202106</v>
      </c>
      <c r="G36" t="s">
        <v>232</v>
      </c>
      <c r="H36">
        <v>0</v>
      </c>
      <c r="O36" t="s">
        <v>2240</v>
      </c>
      <c r="P36" t="s">
        <v>2241</v>
      </c>
      <c r="Q36" t="s">
        <v>2242</v>
      </c>
      <c r="R36" t="s">
        <v>2243</v>
      </c>
      <c r="S36" t="s">
        <v>2220</v>
      </c>
      <c r="T36">
        <v>202107</v>
      </c>
      <c r="U36" t="s">
        <v>230</v>
      </c>
      <c r="V36">
        <v>820675</v>
      </c>
    </row>
    <row r="37" spans="1:22">
      <c r="A37" t="s">
        <v>2240</v>
      </c>
      <c r="B37" t="s">
        <v>2241</v>
      </c>
      <c r="C37" t="s">
        <v>2242</v>
      </c>
      <c r="D37" t="s">
        <v>2243</v>
      </c>
      <c r="E37" t="s">
        <v>2220</v>
      </c>
      <c r="F37">
        <v>202107</v>
      </c>
      <c r="G37" t="s">
        <v>232</v>
      </c>
      <c r="H37">
        <v>0</v>
      </c>
      <c r="O37" t="s">
        <v>2240</v>
      </c>
      <c r="P37" t="s">
        <v>2241</v>
      </c>
      <c r="Q37" t="s">
        <v>2242</v>
      </c>
      <c r="R37" t="s">
        <v>2243</v>
      </c>
      <c r="S37" t="s">
        <v>2220</v>
      </c>
      <c r="T37">
        <v>202107</v>
      </c>
      <c r="U37" t="s">
        <v>231</v>
      </c>
      <c r="V37">
        <v>119528</v>
      </c>
    </row>
    <row r="38" spans="1:22">
      <c r="A38" t="s">
        <v>2240</v>
      </c>
      <c r="B38" t="s">
        <v>2241</v>
      </c>
      <c r="C38" t="s">
        <v>2242</v>
      </c>
      <c r="D38" t="s">
        <v>2243</v>
      </c>
      <c r="E38" t="s">
        <v>2220</v>
      </c>
      <c r="F38">
        <v>202108</v>
      </c>
      <c r="G38" t="s">
        <v>232</v>
      </c>
      <c r="H38">
        <v>0</v>
      </c>
      <c r="O38" t="s">
        <v>2240</v>
      </c>
      <c r="P38" t="s">
        <v>2241</v>
      </c>
      <c r="Q38" t="s">
        <v>2242</v>
      </c>
      <c r="R38" t="s">
        <v>2243</v>
      </c>
      <c r="S38" t="s">
        <v>2220</v>
      </c>
      <c r="T38">
        <v>202107</v>
      </c>
      <c r="U38" t="s">
        <v>221</v>
      </c>
      <c r="V38">
        <v>835461</v>
      </c>
    </row>
    <row r="39" spans="1:22">
      <c r="A39" t="s">
        <v>2240</v>
      </c>
      <c r="B39" t="s">
        <v>2241</v>
      </c>
      <c r="C39" t="s">
        <v>2242</v>
      </c>
      <c r="D39" t="s">
        <v>2243</v>
      </c>
      <c r="E39" t="s">
        <v>2220</v>
      </c>
      <c r="F39">
        <v>202109</v>
      </c>
      <c r="G39" t="s">
        <v>232</v>
      </c>
      <c r="H39">
        <v>0</v>
      </c>
      <c r="O39" t="s">
        <v>2240</v>
      </c>
      <c r="P39" t="s">
        <v>2241</v>
      </c>
      <c r="Q39" t="s">
        <v>2242</v>
      </c>
      <c r="R39" t="s">
        <v>2243</v>
      </c>
      <c r="S39" t="s">
        <v>2220</v>
      </c>
      <c r="T39">
        <v>202107</v>
      </c>
      <c r="U39" t="s">
        <v>223</v>
      </c>
      <c r="V39">
        <v>119528</v>
      </c>
    </row>
    <row r="40" spans="1:22">
      <c r="A40" t="s">
        <v>2240</v>
      </c>
      <c r="B40" t="s">
        <v>2241</v>
      </c>
      <c r="C40" t="s">
        <v>2242</v>
      </c>
      <c r="D40" t="s">
        <v>2243</v>
      </c>
      <c r="E40" t="s">
        <v>2220</v>
      </c>
      <c r="F40">
        <v>202110</v>
      </c>
      <c r="G40" t="s">
        <v>232</v>
      </c>
      <c r="H40">
        <v>0</v>
      </c>
      <c r="O40" t="s">
        <v>2240</v>
      </c>
      <c r="P40" t="s">
        <v>2241</v>
      </c>
      <c r="Q40" t="s">
        <v>2242</v>
      </c>
      <c r="R40" t="s">
        <v>2243</v>
      </c>
      <c r="S40" t="s">
        <v>2220</v>
      </c>
      <c r="T40">
        <v>202107</v>
      </c>
      <c r="U40" t="s">
        <v>225</v>
      </c>
      <c r="V40">
        <v>14786</v>
      </c>
    </row>
    <row r="41" spans="1:22">
      <c r="A41" t="s">
        <v>2240</v>
      </c>
      <c r="B41" t="s">
        <v>2241</v>
      </c>
      <c r="C41" t="s">
        <v>2242</v>
      </c>
      <c r="D41" t="s">
        <v>2243</v>
      </c>
      <c r="E41" t="s">
        <v>2220</v>
      </c>
      <c r="F41">
        <v>202111</v>
      </c>
      <c r="G41" t="s">
        <v>232</v>
      </c>
      <c r="H41">
        <v>0</v>
      </c>
      <c r="O41" t="s">
        <v>2240</v>
      </c>
      <c r="P41" t="s">
        <v>2241</v>
      </c>
      <c r="Q41" t="s">
        <v>2242</v>
      </c>
      <c r="R41" t="s">
        <v>2243</v>
      </c>
      <c r="S41" t="s">
        <v>2220</v>
      </c>
      <c r="T41">
        <v>202108</v>
      </c>
      <c r="U41" t="s">
        <v>230</v>
      </c>
      <c r="V41">
        <v>849997</v>
      </c>
    </row>
    <row r="42" spans="1:22">
      <c r="A42" t="s">
        <v>2240</v>
      </c>
      <c r="B42" t="s">
        <v>2241</v>
      </c>
      <c r="C42" t="s">
        <v>2242</v>
      </c>
      <c r="D42" t="s">
        <v>2243</v>
      </c>
      <c r="E42" t="s">
        <v>2220</v>
      </c>
      <c r="F42">
        <v>202112</v>
      </c>
      <c r="G42" t="s">
        <v>232</v>
      </c>
      <c r="H42">
        <v>0</v>
      </c>
      <c r="O42" t="s">
        <v>2240</v>
      </c>
      <c r="P42" t="s">
        <v>2241</v>
      </c>
      <c r="Q42" t="s">
        <v>2242</v>
      </c>
      <c r="R42" t="s">
        <v>2243</v>
      </c>
      <c r="S42" t="s">
        <v>2220</v>
      </c>
      <c r="T42">
        <v>202108</v>
      </c>
      <c r="U42" t="s">
        <v>231</v>
      </c>
      <c r="V42">
        <v>121212</v>
      </c>
    </row>
    <row r="43" spans="1:22">
      <c r="A43" t="s">
        <v>2240</v>
      </c>
      <c r="B43" t="s">
        <v>2241</v>
      </c>
      <c r="C43" t="s">
        <v>2242</v>
      </c>
      <c r="D43" t="s">
        <v>2243</v>
      </c>
      <c r="E43" t="s">
        <v>2220</v>
      </c>
      <c r="F43">
        <v>202201</v>
      </c>
      <c r="G43" t="s">
        <v>232</v>
      </c>
      <c r="H43">
        <v>0</v>
      </c>
      <c r="O43" t="s">
        <v>2240</v>
      </c>
      <c r="P43" t="s">
        <v>2241</v>
      </c>
      <c r="Q43" t="s">
        <v>2242</v>
      </c>
      <c r="R43" t="s">
        <v>2243</v>
      </c>
      <c r="S43" t="s">
        <v>2220</v>
      </c>
      <c r="T43">
        <v>202108</v>
      </c>
      <c r="U43" t="s">
        <v>221</v>
      </c>
      <c r="V43">
        <v>864783</v>
      </c>
    </row>
    <row r="44" spans="1:22">
      <c r="A44" t="s">
        <v>2240</v>
      </c>
      <c r="B44" t="s">
        <v>2241</v>
      </c>
      <c r="C44" t="s">
        <v>2242</v>
      </c>
      <c r="D44" t="s">
        <v>2243</v>
      </c>
      <c r="E44" t="s">
        <v>2220</v>
      </c>
      <c r="F44">
        <v>202202</v>
      </c>
      <c r="G44" t="s">
        <v>232</v>
      </c>
      <c r="H44">
        <v>0</v>
      </c>
      <c r="O44" t="s">
        <v>2240</v>
      </c>
      <c r="P44" t="s">
        <v>2241</v>
      </c>
      <c r="Q44" t="s">
        <v>2242</v>
      </c>
      <c r="R44" t="s">
        <v>2243</v>
      </c>
      <c r="S44" t="s">
        <v>2220</v>
      </c>
      <c r="T44">
        <v>202108</v>
      </c>
      <c r="U44" t="s">
        <v>223</v>
      </c>
      <c r="V44">
        <v>121212</v>
      </c>
    </row>
    <row r="45" spans="1:22">
      <c r="A45" t="s">
        <v>2240</v>
      </c>
      <c r="B45" t="s">
        <v>2241</v>
      </c>
      <c r="C45" t="s">
        <v>2242</v>
      </c>
      <c r="D45" t="s">
        <v>2243</v>
      </c>
      <c r="E45" t="s">
        <v>2220</v>
      </c>
      <c r="F45">
        <v>202203</v>
      </c>
      <c r="G45" t="s">
        <v>232</v>
      </c>
      <c r="H45">
        <v>0</v>
      </c>
      <c r="O45" t="s">
        <v>2240</v>
      </c>
      <c r="P45" t="s">
        <v>2241</v>
      </c>
      <c r="Q45" t="s">
        <v>2242</v>
      </c>
      <c r="R45" t="s">
        <v>2243</v>
      </c>
      <c r="S45" t="s">
        <v>2220</v>
      </c>
      <c r="T45">
        <v>202108</v>
      </c>
      <c r="U45" t="s">
        <v>225</v>
      </c>
      <c r="V45">
        <v>14786</v>
      </c>
    </row>
    <row r="46" spans="1:22">
      <c r="A46" t="s">
        <v>2240</v>
      </c>
      <c r="B46" t="s">
        <v>2241</v>
      </c>
      <c r="C46" t="s">
        <v>2242</v>
      </c>
      <c r="D46" t="s">
        <v>2243</v>
      </c>
      <c r="E46" t="s">
        <v>2220</v>
      </c>
      <c r="F46">
        <v>202204</v>
      </c>
      <c r="G46" t="s">
        <v>232</v>
      </c>
      <c r="H46">
        <v>0</v>
      </c>
      <c r="O46" t="s">
        <v>2240</v>
      </c>
      <c r="P46" t="s">
        <v>2241</v>
      </c>
      <c r="Q46" t="s">
        <v>2242</v>
      </c>
      <c r="R46" t="s">
        <v>2243</v>
      </c>
      <c r="S46" t="s">
        <v>2220</v>
      </c>
      <c r="T46">
        <v>202109</v>
      </c>
      <c r="U46" t="s">
        <v>230</v>
      </c>
      <c r="V46">
        <v>875002</v>
      </c>
    </row>
    <row r="47" spans="1:22">
      <c r="A47" t="s">
        <v>2240</v>
      </c>
      <c r="B47" t="s">
        <v>2241</v>
      </c>
      <c r="C47" t="s">
        <v>2242</v>
      </c>
      <c r="D47" t="s">
        <v>2243</v>
      </c>
      <c r="E47" t="s">
        <v>2220</v>
      </c>
      <c r="F47">
        <v>202102</v>
      </c>
      <c r="G47" t="s">
        <v>217</v>
      </c>
      <c r="H47">
        <v>2009.28</v>
      </c>
      <c r="O47" t="s">
        <v>2240</v>
      </c>
      <c r="P47" t="s">
        <v>2241</v>
      </c>
      <c r="Q47" t="s">
        <v>2242</v>
      </c>
      <c r="R47" t="s">
        <v>2243</v>
      </c>
      <c r="S47" t="s">
        <v>2220</v>
      </c>
      <c r="T47">
        <v>202109</v>
      </c>
      <c r="U47" t="s">
        <v>231</v>
      </c>
      <c r="V47">
        <v>117648</v>
      </c>
    </row>
    <row r="48" spans="1:22">
      <c r="A48" t="s">
        <v>2240</v>
      </c>
      <c r="B48" t="s">
        <v>2241</v>
      </c>
      <c r="C48" t="s">
        <v>2242</v>
      </c>
      <c r="D48" t="s">
        <v>2243</v>
      </c>
      <c r="E48" t="s">
        <v>2220</v>
      </c>
      <c r="F48">
        <v>202102</v>
      </c>
      <c r="G48" t="s">
        <v>219</v>
      </c>
      <c r="H48">
        <v>2027.76</v>
      </c>
      <c r="O48" t="s">
        <v>2240</v>
      </c>
      <c r="P48" t="s">
        <v>2241</v>
      </c>
      <c r="Q48" t="s">
        <v>2242</v>
      </c>
      <c r="R48" t="s">
        <v>2243</v>
      </c>
      <c r="S48" t="s">
        <v>2220</v>
      </c>
      <c r="T48">
        <v>202109</v>
      </c>
      <c r="U48" t="s">
        <v>221</v>
      </c>
      <c r="V48">
        <v>890678</v>
      </c>
    </row>
    <row r="49" spans="1:22">
      <c r="A49" t="s">
        <v>2240</v>
      </c>
      <c r="B49" t="s">
        <v>2241</v>
      </c>
      <c r="C49" t="s">
        <v>2242</v>
      </c>
      <c r="D49" t="s">
        <v>2243</v>
      </c>
      <c r="E49" t="s">
        <v>2220</v>
      </c>
      <c r="F49">
        <v>202103</v>
      </c>
      <c r="G49" t="s">
        <v>217</v>
      </c>
      <c r="H49">
        <v>1995.84</v>
      </c>
      <c r="O49" t="s">
        <v>2240</v>
      </c>
      <c r="P49" t="s">
        <v>2241</v>
      </c>
      <c r="Q49" t="s">
        <v>2242</v>
      </c>
      <c r="R49" t="s">
        <v>2243</v>
      </c>
      <c r="S49" t="s">
        <v>2220</v>
      </c>
      <c r="T49">
        <v>202109</v>
      </c>
      <c r="U49" t="s">
        <v>223</v>
      </c>
      <c r="V49">
        <v>117648</v>
      </c>
    </row>
    <row r="50" spans="1:22">
      <c r="A50" t="s">
        <v>2240</v>
      </c>
      <c r="B50" t="s">
        <v>2241</v>
      </c>
      <c r="C50" t="s">
        <v>2242</v>
      </c>
      <c r="D50" t="s">
        <v>2243</v>
      </c>
      <c r="E50" t="s">
        <v>2220</v>
      </c>
      <c r="F50">
        <v>202103</v>
      </c>
      <c r="G50" t="s">
        <v>219</v>
      </c>
      <c r="H50">
        <v>2088.2399999999998</v>
      </c>
      <c r="O50" t="s">
        <v>2240</v>
      </c>
      <c r="P50" t="s">
        <v>2241</v>
      </c>
      <c r="Q50" t="s">
        <v>2242</v>
      </c>
      <c r="R50" t="s">
        <v>2243</v>
      </c>
      <c r="S50" t="s">
        <v>2220</v>
      </c>
      <c r="T50">
        <v>202109</v>
      </c>
      <c r="U50" t="s">
        <v>225</v>
      </c>
      <c r="V50">
        <v>15676</v>
      </c>
    </row>
    <row r="51" spans="1:22">
      <c r="A51" t="s">
        <v>2240</v>
      </c>
      <c r="B51" t="s">
        <v>2241</v>
      </c>
      <c r="C51" t="s">
        <v>2242</v>
      </c>
      <c r="D51" t="s">
        <v>2243</v>
      </c>
      <c r="E51" t="s">
        <v>2220</v>
      </c>
      <c r="F51">
        <v>202104</v>
      </c>
      <c r="G51" t="s">
        <v>217</v>
      </c>
      <c r="H51">
        <v>2016</v>
      </c>
      <c r="O51" t="s">
        <v>2240</v>
      </c>
      <c r="P51" t="s">
        <v>2241</v>
      </c>
      <c r="Q51" t="s">
        <v>2242</v>
      </c>
      <c r="R51" t="s">
        <v>2243</v>
      </c>
      <c r="S51" t="s">
        <v>2220</v>
      </c>
      <c r="T51">
        <v>202110</v>
      </c>
      <c r="U51" t="s">
        <v>230</v>
      </c>
      <c r="V51">
        <v>985784</v>
      </c>
    </row>
    <row r="52" spans="1:22">
      <c r="A52" t="s">
        <v>2240</v>
      </c>
      <c r="B52" t="s">
        <v>2241</v>
      </c>
      <c r="C52" t="s">
        <v>2242</v>
      </c>
      <c r="D52" t="s">
        <v>2243</v>
      </c>
      <c r="E52" t="s">
        <v>2220</v>
      </c>
      <c r="F52">
        <v>202104</v>
      </c>
      <c r="G52" t="s">
        <v>219</v>
      </c>
      <c r="H52">
        <v>1990.8</v>
      </c>
      <c r="O52" t="s">
        <v>2240</v>
      </c>
      <c r="P52" t="s">
        <v>2241</v>
      </c>
      <c r="Q52" t="s">
        <v>2242</v>
      </c>
      <c r="R52" t="s">
        <v>2243</v>
      </c>
      <c r="S52" t="s">
        <v>2220</v>
      </c>
      <c r="T52">
        <v>202110</v>
      </c>
      <c r="U52" t="s">
        <v>231</v>
      </c>
      <c r="V52">
        <v>115674</v>
      </c>
    </row>
    <row r="53" spans="1:22">
      <c r="A53" t="s">
        <v>2240</v>
      </c>
      <c r="B53" t="s">
        <v>2241</v>
      </c>
      <c r="C53" t="s">
        <v>2242</v>
      </c>
      <c r="D53" t="s">
        <v>2243</v>
      </c>
      <c r="E53" t="s">
        <v>2220</v>
      </c>
      <c r="F53">
        <v>202105</v>
      </c>
      <c r="G53" t="s">
        <v>217</v>
      </c>
      <c r="H53">
        <v>1935.36</v>
      </c>
      <c r="O53" t="s">
        <v>2240</v>
      </c>
      <c r="P53" t="s">
        <v>2241</v>
      </c>
      <c r="Q53" t="s">
        <v>2242</v>
      </c>
      <c r="R53" t="s">
        <v>2243</v>
      </c>
      <c r="S53" t="s">
        <v>2220</v>
      </c>
      <c r="T53">
        <v>202110</v>
      </c>
      <c r="U53" t="s">
        <v>221</v>
      </c>
      <c r="V53">
        <v>1001430</v>
      </c>
    </row>
    <row r="54" spans="1:22">
      <c r="A54" t="s">
        <v>2240</v>
      </c>
      <c r="B54" t="s">
        <v>2241</v>
      </c>
      <c r="C54" t="s">
        <v>2242</v>
      </c>
      <c r="D54" t="s">
        <v>2243</v>
      </c>
      <c r="E54" t="s">
        <v>2220</v>
      </c>
      <c r="F54">
        <v>202105</v>
      </c>
      <c r="G54" t="s">
        <v>219</v>
      </c>
      <c r="H54">
        <v>2049.6</v>
      </c>
      <c r="O54" t="s">
        <v>2240</v>
      </c>
      <c r="P54" t="s">
        <v>2241</v>
      </c>
      <c r="Q54" t="s">
        <v>2242</v>
      </c>
      <c r="R54" t="s">
        <v>2243</v>
      </c>
      <c r="S54" t="s">
        <v>2220</v>
      </c>
      <c r="T54">
        <v>202110</v>
      </c>
      <c r="U54" t="s">
        <v>223</v>
      </c>
      <c r="V54">
        <v>115674</v>
      </c>
    </row>
    <row r="55" spans="1:22">
      <c r="A55" t="s">
        <v>2240</v>
      </c>
      <c r="B55" t="s">
        <v>2241</v>
      </c>
      <c r="C55" t="s">
        <v>2242</v>
      </c>
      <c r="D55" t="s">
        <v>2243</v>
      </c>
      <c r="E55" t="s">
        <v>2220</v>
      </c>
      <c r="F55">
        <v>202106</v>
      </c>
      <c r="G55" t="s">
        <v>217</v>
      </c>
      <c r="H55">
        <v>1938.72</v>
      </c>
      <c r="O55" t="s">
        <v>2240</v>
      </c>
      <c r="P55" t="s">
        <v>2241</v>
      </c>
      <c r="Q55" t="s">
        <v>2242</v>
      </c>
      <c r="R55" t="s">
        <v>2243</v>
      </c>
      <c r="S55" t="s">
        <v>2220</v>
      </c>
      <c r="T55">
        <v>202110</v>
      </c>
      <c r="U55" t="s">
        <v>225</v>
      </c>
      <c r="V55">
        <v>15646</v>
      </c>
    </row>
    <row r="56" spans="1:22">
      <c r="A56" t="s">
        <v>2240</v>
      </c>
      <c r="B56" t="s">
        <v>2241</v>
      </c>
      <c r="C56" t="s">
        <v>2242</v>
      </c>
      <c r="D56" t="s">
        <v>2243</v>
      </c>
      <c r="E56" t="s">
        <v>2220</v>
      </c>
      <c r="F56">
        <v>202106</v>
      </c>
      <c r="G56" t="s">
        <v>219</v>
      </c>
      <c r="H56">
        <v>1994.16</v>
      </c>
      <c r="O56" t="s">
        <v>2240</v>
      </c>
      <c r="P56" t="s">
        <v>2241</v>
      </c>
      <c r="Q56" t="s">
        <v>2242</v>
      </c>
      <c r="R56" t="s">
        <v>2243</v>
      </c>
      <c r="S56" t="s">
        <v>2220</v>
      </c>
      <c r="T56">
        <v>202111</v>
      </c>
      <c r="U56" t="s">
        <v>230</v>
      </c>
      <c r="V56">
        <v>962456</v>
      </c>
    </row>
    <row r="57" spans="1:22">
      <c r="A57" t="s">
        <v>2240</v>
      </c>
      <c r="B57" t="s">
        <v>2241</v>
      </c>
      <c r="C57" t="s">
        <v>2242</v>
      </c>
      <c r="D57" t="s">
        <v>2243</v>
      </c>
      <c r="E57" t="s">
        <v>2220</v>
      </c>
      <c r="F57">
        <v>202107</v>
      </c>
      <c r="G57" t="s">
        <v>217</v>
      </c>
      <c r="H57">
        <v>1915.2</v>
      </c>
      <c r="O57" t="s">
        <v>2240</v>
      </c>
      <c r="P57" t="s">
        <v>2241</v>
      </c>
      <c r="Q57" t="s">
        <v>2242</v>
      </c>
      <c r="R57" t="s">
        <v>2243</v>
      </c>
      <c r="S57" t="s">
        <v>2220</v>
      </c>
      <c r="T57">
        <v>202111</v>
      </c>
      <c r="U57" t="s">
        <v>231</v>
      </c>
      <c r="V57">
        <v>115579</v>
      </c>
    </row>
    <row r="58" spans="1:22">
      <c r="A58" t="s">
        <v>2240</v>
      </c>
      <c r="B58" t="s">
        <v>2241</v>
      </c>
      <c r="C58" t="s">
        <v>2242</v>
      </c>
      <c r="D58" t="s">
        <v>2243</v>
      </c>
      <c r="E58" t="s">
        <v>2220</v>
      </c>
      <c r="F58">
        <v>202107</v>
      </c>
      <c r="G58" t="s">
        <v>219</v>
      </c>
      <c r="H58">
        <v>2004.8</v>
      </c>
      <c r="O58" t="s">
        <v>2240</v>
      </c>
      <c r="P58" t="s">
        <v>2241</v>
      </c>
      <c r="Q58" t="s">
        <v>2242</v>
      </c>
      <c r="R58" t="s">
        <v>2243</v>
      </c>
      <c r="S58" t="s">
        <v>2220</v>
      </c>
      <c r="T58">
        <v>202111</v>
      </c>
      <c r="U58" t="s">
        <v>221</v>
      </c>
      <c r="V58">
        <v>976822</v>
      </c>
    </row>
    <row r="59" spans="1:22">
      <c r="A59" t="s">
        <v>2240</v>
      </c>
      <c r="B59" t="s">
        <v>2241</v>
      </c>
      <c r="C59" t="s">
        <v>2242</v>
      </c>
      <c r="D59" t="s">
        <v>2243</v>
      </c>
      <c r="E59" t="s">
        <v>2220</v>
      </c>
      <c r="F59">
        <v>202108</v>
      </c>
      <c r="G59" t="s">
        <v>217</v>
      </c>
      <c r="H59">
        <v>1963.92</v>
      </c>
      <c r="O59" t="s">
        <v>2240</v>
      </c>
      <c r="P59" t="s">
        <v>2241</v>
      </c>
      <c r="Q59" t="s">
        <v>2242</v>
      </c>
      <c r="R59" t="s">
        <v>2243</v>
      </c>
      <c r="S59" t="s">
        <v>2220</v>
      </c>
      <c r="T59">
        <v>202111</v>
      </c>
      <c r="U59" t="s">
        <v>223</v>
      </c>
      <c r="V59">
        <v>115579</v>
      </c>
    </row>
    <row r="60" spans="1:22">
      <c r="A60" t="s">
        <v>2240</v>
      </c>
      <c r="B60" t="s">
        <v>2241</v>
      </c>
      <c r="C60" t="s">
        <v>2242</v>
      </c>
      <c r="D60" t="s">
        <v>2243</v>
      </c>
      <c r="E60" t="s">
        <v>2220</v>
      </c>
      <c r="F60">
        <v>202108</v>
      </c>
      <c r="G60" t="s">
        <v>219</v>
      </c>
      <c r="H60">
        <v>2038.4</v>
      </c>
      <c r="O60" t="s">
        <v>2240</v>
      </c>
      <c r="P60" t="s">
        <v>2241</v>
      </c>
      <c r="Q60" t="s">
        <v>2242</v>
      </c>
      <c r="R60" t="s">
        <v>2243</v>
      </c>
      <c r="S60" t="s">
        <v>2220</v>
      </c>
      <c r="T60">
        <v>202111</v>
      </c>
      <c r="U60" t="s">
        <v>225</v>
      </c>
      <c r="V60">
        <v>14366</v>
      </c>
    </row>
    <row r="61" spans="1:22">
      <c r="A61" t="s">
        <v>2240</v>
      </c>
      <c r="B61" t="s">
        <v>2241</v>
      </c>
      <c r="C61" t="s">
        <v>2242</v>
      </c>
      <c r="D61" t="s">
        <v>2243</v>
      </c>
      <c r="E61" t="s">
        <v>2220</v>
      </c>
      <c r="F61">
        <v>202109</v>
      </c>
      <c r="G61" t="s">
        <v>217</v>
      </c>
      <c r="H61">
        <v>2009.28</v>
      </c>
      <c r="O61" t="s">
        <v>2240</v>
      </c>
      <c r="P61" t="s">
        <v>2241</v>
      </c>
      <c r="Q61" t="s">
        <v>2242</v>
      </c>
      <c r="R61" t="s">
        <v>2243</v>
      </c>
      <c r="S61" t="s">
        <v>2220</v>
      </c>
      <c r="T61">
        <v>202112</v>
      </c>
      <c r="U61" t="s">
        <v>230</v>
      </c>
      <c r="V61">
        <v>987181</v>
      </c>
    </row>
    <row r="62" spans="1:22">
      <c r="A62" t="s">
        <v>2240</v>
      </c>
      <c r="B62" t="s">
        <v>2241</v>
      </c>
      <c r="C62" t="s">
        <v>2242</v>
      </c>
      <c r="D62" t="s">
        <v>2243</v>
      </c>
      <c r="E62" t="s">
        <v>2220</v>
      </c>
      <c r="F62">
        <v>202109</v>
      </c>
      <c r="G62" t="s">
        <v>219</v>
      </c>
      <c r="H62">
        <v>2058</v>
      </c>
      <c r="O62" t="s">
        <v>2240</v>
      </c>
      <c r="P62" t="s">
        <v>2241</v>
      </c>
      <c r="Q62" t="s">
        <v>2242</v>
      </c>
      <c r="R62" t="s">
        <v>2243</v>
      </c>
      <c r="S62" t="s">
        <v>2220</v>
      </c>
      <c r="T62">
        <v>202112</v>
      </c>
      <c r="U62" t="s">
        <v>231</v>
      </c>
      <c r="V62">
        <v>130245</v>
      </c>
    </row>
    <row r="63" spans="1:22">
      <c r="A63" t="s">
        <v>2240</v>
      </c>
      <c r="B63" t="s">
        <v>2241</v>
      </c>
      <c r="C63" t="s">
        <v>2242</v>
      </c>
      <c r="D63" t="s">
        <v>2243</v>
      </c>
      <c r="E63" t="s">
        <v>2220</v>
      </c>
      <c r="F63">
        <v>202110</v>
      </c>
      <c r="G63" t="s">
        <v>217</v>
      </c>
      <c r="H63">
        <v>2042.88</v>
      </c>
      <c r="O63" t="s">
        <v>2240</v>
      </c>
      <c r="P63" t="s">
        <v>2241</v>
      </c>
      <c r="Q63" t="s">
        <v>2242</v>
      </c>
      <c r="R63" t="s">
        <v>2243</v>
      </c>
      <c r="S63" t="s">
        <v>2220</v>
      </c>
      <c r="T63">
        <v>202112</v>
      </c>
      <c r="U63" t="s">
        <v>221</v>
      </c>
      <c r="V63">
        <v>999567</v>
      </c>
    </row>
    <row r="64" spans="1:22">
      <c r="A64" t="s">
        <v>2240</v>
      </c>
      <c r="B64" t="s">
        <v>2241</v>
      </c>
      <c r="C64" t="s">
        <v>2242</v>
      </c>
      <c r="D64" t="s">
        <v>2243</v>
      </c>
      <c r="E64" t="s">
        <v>2220</v>
      </c>
      <c r="F64">
        <v>202110</v>
      </c>
      <c r="G64" t="s">
        <v>219</v>
      </c>
      <c r="H64">
        <v>2051.2800000000002</v>
      </c>
      <c r="O64" t="s">
        <v>2240</v>
      </c>
      <c r="P64" t="s">
        <v>2241</v>
      </c>
      <c r="Q64" t="s">
        <v>2242</v>
      </c>
      <c r="R64" t="s">
        <v>2243</v>
      </c>
      <c r="S64" t="s">
        <v>2220</v>
      </c>
      <c r="T64">
        <v>202112</v>
      </c>
      <c r="U64" t="s">
        <v>223</v>
      </c>
      <c r="V64">
        <v>130245</v>
      </c>
    </row>
    <row r="65" spans="1:22">
      <c r="A65" t="s">
        <v>2240</v>
      </c>
      <c r="B65" t="s">
        <v>2241</v>
      </c>
      <c r="C65" t="s">
        <v>2242</v>
      </c>
      <c r="D65" t="s">
        <v>2243</v>
      </c>
      <c r="E65" t="s">
        <v>2220</v>
      </c>
      <c r="F65">
        <v>202111</v>
      </c>
      <c r="G65" t="s">
        <v>217</v>
      </c>
      <c r="H65">
        <v>2010.96</v>
      </c>
      <c r="O65" t="s">
        <v>2240</v>
      </c>
      <c r="P65" t="s">
        <v>2241</v>
      </c>
      <c r="Q65" t="s">
        <v>2242</v>
      </c>
      <c r="R65" t="s">
        <v>2243</v>
      </c>
      <c r="S65" t="s">
        <v>2220</v>
      </c>
      <c r="T65">
        <v>202112</v>
      </c>
      <c r="U65" t="s">
        <v>225</v>
      </c>
      <c r="V65">
        <v>12386</v>
      </c>
    </row>
    <row r="66" spans="1:22">
      <c r="A66" t="s">
        <v>2240</v>
      </c>
      <c r="B66" t="s">
        <v>2241</v>
      </c>
      <c r="C66" t="s">
        <v>2242</v>
      </c>
      <c r="D66" t="s">
        <v>2243</v>
      </c>
      <c r="E66" t="s">
        <v>2220</v>
      </c>
      <c r="F66">
        <v>202111</v>
      </c>
      <c r="G66" t="s">
        <v>219</v>
      </c>
      <c r="H66">
        <v>2068.08</v>
      </c>
      <c r="O66" t="s">
        <v>2240</v>
      </c>
      <c r="P66" t="s">
        <v>2241</v>
      </c>
      <c r="Q66" t="s">
        <v>2242</v>
      </c>
      <c r="R66" t="s">
        <v>2243</v>
      </c>
      <c r="S66" t="s">
        <v>2220</v>
      </c>
      <c r="T66">
        <v>202201</v>
      </c>
      <c r="U66" t="s">
        <v>230</v>
      </c>
      <c r="V66">
        <v>1025789.32</v>
      </c>
    </row>
    <row r="67" spans="1:22">
      <c r="A67" t="s">
        <v>2240</v>
      </c>
      <c r="B67" t="s">
        <v>2241</v>
      </c>
      <c r="C67" t="s">
        <v>2242</v>
      </c>
      <c r="D67" t="s">
        <v>2243</v>
      </c>
      <c r="E67" t="s">
        <v>2220</v>
      </c>
      <c r="F67">
        <v>202112</v>
      </c>
      <c r="G67" t="s">
        <v>217</v>
      </c>
      <c r="H67">
        <v>2037.84</v>
      </c>
      <c r="O67" t="s">
        <v>2240</v>
      </c>
      <c r="P67" t="s">
        <v>2241</v>
      </c>
      <c r="Q67" t="s">
        <v>2242</v>
      </c>
      <c r="R67" t="s">
        <v>2243</v>
      </c>
      <c r="S67" t="s">
        <v>2220</v>
      </c>
      <c r="T67">
        <v>202201</v>
      </c>
      <c r="U67" t="s">
        <v>231</v>
      </c>
      <c r="V67">
        <v>119048.58</v>
      </c>
    </row>
    <row r="68" spans="1:22">
      <c r="A68" t="s">
        <v>2240</v>
      </c>
      <c r="B68" t="s">
        <v>2241</v>
      </c>
      <c r="C68" t="s">
        <v>2242</v>
      </c>
      <c r="D68" t="s">
        <v>2243</v>
      </c>
      <c r="E68" t="s">
        <v>2220</v>
      </c>
      <c r="F68">
        <v>202112</v>
      </c>
      <c r="G68" t="s">
        <v>219</v>
      </c>
      <c r="H68">
        <v>2155.44</v>
      </c>
      <c r="O68" t="s">
        <v>2240</v>
      </c>
      <c r="P68" t="s">
        <v>2241</v>
      </c>
      <c r="Q68" t="s">
        <v>2242</v>
      </c>
      <c r="R68" t="s">
        <v>2243</v>
      </c>
      <c r="S68" t="s">
        <v>2220</v>
      </c>
      <c r="T68">
        <v>202201</v>
      </c>
      <c r="U68" t="s">
        <v>221</v>
      </c>
      <c r="V68">
        <v>1038175.32</v>
      </c>
    </row>
    <row r="69" spans="1:22">
      <c r="A69" t="s">
        <v>2240</v>
      </c>
      <c r="B69" t="s">
        <v>2241</v>
      </c>
      <c r="C69" t="s">
        <v>2242</v>
      </c>
      <c r="D69" t="s">
        <v>2243</v>
      </c>
      <c r="E69" t="s">
        <v>2220</v>
      </c>
      <c r="F69">
        <v>202201</v>
      </c>
      <c r="G69" t="s">
        <v>217</v>
      </c>
      <c r="H69">
        <v>2093.2800000000002</v>
      </c>
      <c r="O69" t="s">
        <v>2240</v>
      </c>
      <c r="P69" t="s">
        <v>2241</v>
      </c>
      <c r="Q69" t="s">
        <v>2242</v>
      </c>
      <c r="R69" t="s">
        <v>2243</v>
      </c>
      <c r="S69" t="s">
        <v>2220</v>
      </c>
      <c r="T69">
        <v>202201</v>
      </c>
      <c r="U69" t="s">
        <v>223</v>
      </c>
      <c r="V69">
        <v>119048.58</v>
      </c>
    </row>
    <row r="70" spans="1:22">
      <c r="A70" t="s">
        <v>2240</v>
      </c>
      <c r="B70" t="s">
        <v>2241</v>
      </c>
      <c r="C70" t="s">
        <v>2242</v>
      </c>
      <c r="D70" t="s">
        <v>2243</v>
      </c>
      <c r="E70" t="s">
        <v>2220</v>
      </c>
      <c r="F70">
        <v>202201</v>
      </c>
      <c r="G70" t="s">
        <v>219</v>
      </c>
      <c r="H70">
        <v>2130.2399999999998</v>
      </c>
      <c r="O70" t="s">
        <v>2240</v>
      </c>
      <c r="P70" t="s">
        <v>2241</v>
      </c>
      <c r="Q70" t="s">
        <v>2242</v>
      </c>
      <c r="R70" t="s">
        <v>2243</v>
      </c>
      <c r="S70" t="s">
        <v>2220</v>
      </c>
      <c r="T70">
        <v>202201</v>
      </c>
      <c r="U70" t="s">
        <v>225</v>
      </c>
      <c r="V70">
        <v>12386</v>
      </c>
    </row>
    <row r="71" spans="1:22">
      <c r="A71" t="s">
        <v>2240</v>
      </c>
      <c r="B71" t="s">
        <v>2241</v>
      </c>
      <c r="C71" t="s">
        <v>2242</v>
      </c>
      <c r="D71" t="s">
        <v>2243</v>
      </c>
      <c r="E71" t="s">
        <v>2220</v>
      </c>
      <c r="F71">
        <v>202202</v>
      </c>
      <c r="G71" t="s">
        <v>217</v>
      </c>
      <c r="H71">
        <v>2140.3200000000002</v>
      </c>
      <c r="O71" t="s">
        <v>2240</v>
      </c>
      <c r="P71" t="s">
        <v>2241</v>
      </c>
      <c r="Q71" t="s">
        <v>2242</v>
      </c>
      <c r="R71" t="s">
        <v>2243</v>
      </c>
      <c r="S71" t="s">
        <v>2220</v>
      </c>
      <c r="T71">
        <v>202202</v>
      </c>
      <c r="U71" t="s">
        <v>230</v>
      </c>
      <c r="V71">
        <v>988729.18</v>
      </c>
    </row>
    <row r="72" spans="1:22">
      <c r="A72" t="s">
        <v>2240</v>
      </c>
      <c r="B72" t="s">
        <v>2241</v>
      </c>
      <c r="C72" t="s">
        <v>2242</v>
      </c>
      <c r="D72" t="s">
        <v>2243</v>
      </c>
      <c r="E72" t="s">
        <v>2220</v>
      </c>
      <c r="F72">
        <v>202202</v>
      </c>
      <c r="G72" t="s">
        <v>219</v>
      </c>
      <c r="H72">
        <v>2150.4</v>
      </c>
      <c r="O72" t="s">
        <v>2240</v>
      </c>
      <c r="P72" t="s">
        <v>2241</v>
      </c>
      <c r="Q72" t="s">
        <v>2242</v>
      </c>
      <c r="R72" t="s">
        <v>2243</v>
      </c>
      <c r="S72" t="s">
        <v>2220</v>
      </c>
      <c r="T72">
        <v>202202</v>
      </c>
      <c r="U72" t="s">
        <v>231</v>
      </c>
      <c r="V72">
        <v>117363.12</v>
      </c>
    </row>
    <row r="73" spans="1:22">
      <c r="A73" t="s">
        <v>2240</v>
      </c>
      <c r="B73" t="s">
        <v>2241</v>
      </c>
      <c r="C73" t="s">
        <v>2242</v>
      </c>
      <c r="D73" t="s">
        <v>2243</v>
      </c>
      <c r="E73" t="s">
        <v>2220</v>
      </c>
      <c r="F73">
        <v>202203</v>
      </c>
      <c r="G73" t="s">
        <v>217</v>
      </c>
      <c r="H73">
        <v>2083.1999999999998</v>
      </c>
      <c r="O73" t="s">
        <v>2240</v>
      </c>
      <c r="P73" t="s">
        <v>2241</v>
      </c>
      <c r="Q73" t="s">
        <v>2242</v>
      </c>
      <c r="R73" t="s">
        <v>2243</v>
      </c>
      <c r="S73" t="s">
        <v>2220</v>
      </c>
      <c r="T73">
        <v>202202</v>
      </c>
      <c r="U73" t="s">
        <v>221</v>
      </c>
      <c r="V73">
        <v>999822.18</v>
      </c>
    </row>
    <row r="74" spans="1:22">
      <c r="A74" t="s">
        <v>2240</v>
      </c>
      <c r="B74" t="s">
        <v>2241</v>
      </c>
      <c r="C74" t="s">
        <v>2242</v>
      </c>
      <c r="D74" t="s">
        <v>2243</v>
      </c>
      <c r="E74" t="s">
        <v>2220</v>
      </c>
      <c r="F74">
        <v>202203</v>
      </c>
      <c r="G74" t="s">
        <v>219</v>
      </c>
      <c r="H74">
        <v>2083.1999999999998</v>
      </c>
      <c r="O74" t="s">
        <v>2240</v>
      </c>
      <c r="P74" t="s">
        <v>2241</v>
      </c>
      <c r="Q74" t="s">
        <v>2242</v>
      </c>
      <c r="R74" t="s">
        <v>2243</v>
      </c>
      <c r="S74" t="s">
        <v>2220</v>
      </c>
      <c r="T74">
        <v>202202</v>
      </c>
      <c r="U74" t="s">
        <v>223</v>
      </c>
      <c r="V74">
        <v>117363.12</v>
      </c>
    </row>
    <row r="75" spans="1:22">
      <c r="A75" t="s">
        <v>2240</v>
      </c>
      <c r="B75" t="s">
        <v>2241</v>
      </c>
      <c r="C75" t="s">
        <v>2242</v>
      </c>
      <c r="D75" t="s">
        <v>2243</v>
      </c>
      <c r="E75" t="s">
        <v>2220</v>
      </c>
      <c r="F75">
        <v>202204</v>
      </c>
      <c r="G75" t="s">
        <v>217</v>
      </c>
      <c r="H75">
        <v>2105.04</v>
      </c>
      <c r="O75" t="s">
        <v>2240</v>
      </c>
      <c r="P75" t="s">
        <v>2241</v>
      </c>
      <c r="Q75" t="s">
        <v>2242</v>
      </c>
      <c r="R75" t="s">
        <v>2243</v>
      </c>
      <c r="S75" t="s">
        <v>2220</v>
      </c>
      <c r="T75">
        <v>202202</v>
      </c>
      <c r="U75" t="s">
        <v>225</v>
      </c>
      <c r="V75">
        <v>11093</v>
      </c>
    </row>
    <row r="76" spans="1:22">
      <c r="A76" t="s">
        <v>2240</v>
      </c>
      <c r="B76" t="s">
        <v>2241</v>
      </c>
      <c r="C76" t="s">
        <v>2242</v>
      </c>
      <c r="D76" t="s">
        <v>2243</v>
      </c>
      <c r="E76" t="s">
        <v>2220</v>
      </c>
      <c r="F76">
        <v>202204</v>
      </c>
      <c r="G76" t="s">
        <v>219</v>
      </c>
      <c r="H76">
        <v>2162.16</v>
      </c>
      <c r="O76" t="s">
        <v>2240</v>
      </c>
      <c r="P76" t="s">
        <v>2241</v>
      </c>
      <c r="Q76" t="s">
        <v>2242</v>
      </c>
      <c r="R76" t="s">
        <v>2243</v>
      </c>
      <c r="S76" t="s">
        <v>2220</v>
      </c>
      <c r="T76">
        <v>202203</v>
      </c>
      <c r="U76" t="s">
        <v>230</v>
      </c>
      <c r="V76">
        <v>1007846.44</v>
      </c>
    </row>
    <row r="77" spans="1:22">
      <c r="A77" t="s">
        <v>2240</v>
      </c>
      <c r="B77" t="s">
        <v>2241</v>
      </c>
      <c r="C77" t="s">
        <v>2242</v>
      </c>
      <c r="D77" t="s">
        <v>2243</v>
      </c>
      <c r="E77" t="s">
        <v>2220</v>
      </c>
      <c r="F77">
        <v>202102</v>
      </c>
      <c r="G77" t="s">
        <v>230</v>
      </c>
      <c r="H77">
        <v>887496</v>
      </c>
      <c r="O77" t="s">
        <v>2240</v>
      </c>
      <c r="P77" t="s">
        <v>2241</v>
      </c>
      <c r="Q77" t="s">
        <v>2242</v>
      </c>
      <c r="R77" t="s">
        <v>2243</v>
      </c>
      <c r="S77" t="s">
        <v>2220</v>
      </c>
      <c r="T77">
        <v>202203</v>
      </c>
      <c r="U77" t="s">
        <v>231</v>
      </c>
      <c r="V77">
        <v>124961.76</v>
      </c>
    </row>
    <row r="78" spans="1:22">
      <c r="A78" t="s">
        <v>2240</v>
      </c>
      <c r="B78" t="s">
        <v>2241</v>
      </c>
      <c r="C78" t="s">
        <v>2242</v>
      </c>
      <c r="D78" t="s">
        <v>2243</v>
      </c>
      <c r="E78" t="s">
        <v>2220</v>
      </c>
      <c r="F78">
        <v>202102</v>
      </c>
      <c r="G78" t="s">
        <v>231</v>
      </c>
      <c r="H78">
        <v>100907</v>
      </c>
      <c r="O78" t="s">
        <v>2240</v>
      </c>
      <c r="P78" t="s">
        <v>2241</v>
      </c>
      <c r="Q78" t="s">
        <v>2242</v>
      </c>
      <c r="R78" t="s">
        <v>2243</v>
      </c>
      <c r="S78" t="s">
        <v>2220</v>
      </c>
      <c r="T78">
        <v>202203</v>
      </c>
      <c r="U78" t="s">
        <v>221</v>
      </c>
      <c r="V78">
        <v>1019836.44</v>
      </c>
    </row>
    <row r="79" spans="1:22">
      <c r="A79" t="s">
        <v>2240</v>
      </c>
      <c r="B79" t="s">
        <v>2241</v>
      </c>
      <c r="C79" t="s">
        <v>2242</v>
      </c>
      <c r="D79" t="s">
        <v>2243</v>
      </c>
      <c r="E79" t="s">
        <v>2220</v>
      </c>
      <c r="F79">
        <v>202102</v>
      </c>
      <c r="G79" t="s">
        <v>221</v>
      </c>
      <c r="H79">
        <v>899682</v>
      </c>
      <c r="O79" t="s">
        <v>2240</v>
      </c>
      <c r="P79" t="s">
        <v>2241</v>
      </c>
      <c r="Q79" t="s">
        <v>2242</v>
      </c>
      <c r="R79" t="s">
        <v>2243</v>
      </c>
      <c r="S79" t="s">
        <v>2220</v>
      </c>
      <c r="T79">
        <v>202203</v>
      </c>
      <c r="U79" t="s">
        <v>223</v>
      </c>
      <c r="V79">
        <v>124961.76</v>
      </c>
    </row>
    <row r="80" spans="1:22">
      <c r="A80" t="s">
        <v>2240</v>
      </c>
      <c r="B80" t="s">
        <v>2241</v>
      </c>
      <c r="C80" t="s">
        <v>2242</v>
      </c>
      <c r="D80" t="s">
        <v>2243</v>
      </c>
      <c r="E80" t="s">
        <v>2220</v>
      </c>
      <c r="F80">
        <v>202102</v>
      </c>
      <c r="G80" t="s">
        <v>223</v>
      </c>
      <c r="H80">
        <v>100907</v>
      </c>
      <c r="O80" t="s">
        <v>2240</v>
      </c>
      <c r="P80" t="s">
        <v>2241</v>
      </c>
      <c r="Q80" t="s">
        <v>2242</v>
      </c>
      <c r="R80" t="s">
        <v>2243</v>
      </c>
      <c r="S80" t="s">
        <v>2220</v>
      </c>
      <c r="T80">
        <v>202203</v>
      </c>
      <c r="U80" t="s">
        <v>225</v>
      </c>
      <c r="V80">
        <v>11990</v>
      </c>
    </row>
    <row r="81" spans="1:22">
      <c r="A81" t="s">
        <v>2240</v>
      </c>
      <c r="B81" t="s">
        <v>2241</v>
      </c>
      <c r="C81" t="s">
        <v>2242</v>
      </c>
      <c r="D81" t="s">
        <v>2243</v>
      </c>
      <c r="E81" t="s">
        <v>2220</v>
      </c>
      <c r="F81">
        <v>202102</v>
      </c>
      <c r="G81" t="s">
        <v>225</v>
      </c>
      <c r="H81">
        <v>12186</v>
      </c>
      <c r="O81" t="s">
        <v>2240</v>
      </c>
      <c r="P81" t="s">
        <v>2241</v>
      </c>
      <c r="Q81" t="s">
        <v>2242</v>
      </c>
      <c r="R81" t="s">
        <v>2243</v>
      </c>
      <c r="S81" t="s">
        <v>2220</v>
      </c>
      <c r="T81">
        <v>202204</v>
      </c>
      <c r="U81" t="s">
        <v>230</v>
      </c>
      <c r="V81">
        <v>1015051.52</v>
      </c>
    </row>
    <row r="82" spans="1:22">
      <c r="A82" t="s">
        <v>2240</v>
      </c>
      <c r="B82" t="s">
        <v>2241</v>
      </c>
      <c r="C82" t="s">
        <v>2242</v>
      </c>
      <c r="D82" t="s">
        <v>2243</v>
      </c>
      <c r="E82" t="s">
        <v>2220</v>
      </c>
      <c r="F82">
        <v>202103</v>
      </c>
      <c r="G82" t="s">
        <v>230</v>
      </c>
      <c r="H82">
        <v>984492</v>
      </c>
      <c r="O82" t="s">
        <v>2240</v>
      </c>
      <c r="P82" t="s">
        <v>2241</v>
      </c>
      <c r="Q82" t="s">
        <v>2242</v>
      </c>
      <c r="R82" t="s">
        <v>2243</v>
      </c>
      <c r="S82" t="s">
        <v>2220</v>
      </c>
      <c r="T82">
        <v>202204</v>
      </c>
      <c r="U82" t="s">
        <v>231</v>
      </c>
      <c r="V82">
        <v>112252.14</v>
      </c>
    </row>
    <row r="83" spans="1:22">
      <c r="A83" t="s">
        <v>2240</v>
      </c>
      <c r="B83" t="s">
        <v>2241</v>
      </c>
      <c r="C83" t="s">
        <v>2242</v>
      </c>
      <c r="D83" t="s">
        <v>2243</v>
      </c>
      <c r="E83" t="s">
        <v>2220</v>
      </c>
      <c r="F83">
        <v>202103</v>
      </c>
      <c r="G83" t="s">
        <v>231</v>
      </c>
      <c r="H83">
        <v>124779</v>
      </c>
      <c r="O83" t="s">
        <v>2240</v>
      </c>
      <c r="P83" t="s">
        <v>2241</v>
      </c>
      <c r="Q83" t="s">
        <v>2242</v>
      </c>
      <c r="R83" t="s">
        <v>2243</v>
      </c>
      <c r="S83" t="s">
        <v>2220</v>
      </c>
      <c r="T83">
        <v>202204</v>
      </c>
      <c r="U83" t="s">
        <v>221</v>
      </c>
      <c r="V83">
        <v>1026587.52</v>
      </c>
    </row>
    <row r="84" spans="1:22">
      <c r="A84" t="s">
        <v>2240</v>
      </c>
      <c r="B84" t="s">
        <v>2241</v>
      </c>
      <c r="C84" t="s">
        <v>2242</v>
      </c>
      <c r="D84" t="s">
        <v>2243</v>
      </c>
      <c r="E84" t="s">
        <v>2220</v>
      </c>
      <c r="F84">
        <v>202103</v>
      </c>
      <c r="G84" t="s">
        <v>221</v>
      </c>
      <c r="H84">
        <v>997268</v>
      </c>
      <c r="O84" t="s">
        <v>2240</v>
      </c>
      <c r="P84" t="s">
        <v>2241</v>
      </c>
      <c r="Q84" t="s">
        <v>2242</v>
      </c>
      <c r="R84" t="s">
        <v>2243</v>
      </c>
      <c r="S84" t="s">
        <v>2220</v>
      </c>
      <c r="T84">
        <v>202204</v>
      </c>
      <c r="U84" t="s">
        <v>223</v>
      </c>
      <c r="V84">
        <v>112252.14</v>
      </c>
    </row>
    <row r="85" spans="1:22">
      <c r="A85" t="s">
        <v>2240</v>
      </c>
      <c r="B85" t="s">
        <v>2241</v>
      </c>
      <c r="C85" t="s">
        <v>2242</v>
      </c>
      <c r="D85" t="s">
        <v>2243</v>
      </c>
      <c r="E85" t="s">
        <v>2220</v>
      </c>
      <c r="F85">
        <v>202103</v>
      </c>
      <c r="G85" t="s">
        <v>223</v>
      </c>
      <c r="H85">
        <v>124779</v>
      </c>
      <c r="O85" t="s">
        <v>2240</v>
      </c>
      <c r="P85" t="s">
        <v>2241</v>
      </c>
      <c r="Q85" t="s">
        <v>2242</v>
      </c>
      <c r="R85" t="s">
        <v>2243</v>
      </c>
      <c r="S85" t="s">
        <v>2220</v>
      </c>
      <c r="T85">
        <v>202204</v>
      </c>
      <c r="U85" t="s">
        <v>225</v>
      </c>
      <c r="V85">
        <v>11536</v>
      </c>
    </row>
    <row r="86" spans="1:22">
      <c r="A86" t="s">
        <v>2240</v>
      </c>
      <c r="B86" t="s">
        <v>2241</v>
      </c>
      <c r="C86" t="s">
        <v>2242</v>
      </c>
      <c r="D86" t="s">
        <v>2243</v>
      </c>
      <c r="E86" t="s">
        <v>2220</v>
      </c>
      <c r="F86">
        <v>202103</v>
      </c>
      <c r="G86" t="s">
        <v>225</v>
      </c>
      <c r="H86">
        <v>12776</v>
      </c>
    </row>
    <row r="87" spans="1:22">
      <c r="A87" t="s">
        <v>2240</v>
      </c>
      <c r="B87" t="s">
        <v>2241</v>
      </c>
      <c r="C87" t="s">
        <v>2242</v>
      </c>
      <c r="D87" t="s">
        <v>2243</v>
      </c>
      <c r="E87" t="s">
        <v>2220</v>
      </c>
      <c r="F87">
        <v>202104</v>
      </c>
      <c r="G87" t="s">
        <v>230</v>
      </c>
      <c r="H87">
        <v>914363</v>
      </c>
    </row>
    <row r="88" spans="1:22">
      <c r="A88" t="s">
        <v>2240</v>
      </c>
      <c r="B88" t="s">
        <v>2241</v>
      </c>
      <c r="C88" t="s">
        <v>2242</v>
      </c>
      <c r="D88" t="s">
        <v>2243</v>
      </c>
      <c r="E88" t="s">
        <v>2220</v>
      </c>
      <c r="F88">
        <v>202104</v>
      </c>
      <c r="G88" t="s">
        <v>231</v>
      </c>
      <c r="H88">
        <v>108497</v>
      </c>
    </row>
    <row r="89" spans="1:22">
      <c r="A89" t="s">
        <v>2240</v>
      </c>
      <c r="B89" t="s">
        <v>2241</v>
      </c>
      <c r="C89" t="s">
        <v>2242</v>
      </c>
      <c r="D89" t="s">
        <v>2243</v>
      </c>
      <c r="E89" t="s">
        <v>2220</v>
      </c>
      <c r="F89">
        <v>202104</v>
      </c>
      <c r="G89" t="s">
        <v>221</v>
      </c>
      <c r="H89">
        <v>928589</v>
      </c>
    </row>
    <row r="90" spans="1:22">
      <c r="A90" t="s">
        <v>2240</v>
      </c>
      <c r="B90" t="s">
        <v>2241</v>
      </c>
      <c r="C90" t="s">
        <v>2242</v>
      </c>
      <c r="D90" t="s">
        <v>2243</v>
      </c>
      <c r="E90" t="s">
        <v>2220</v>
      </c>
      <c r="F90">
        <v>202104</v>
      </c>
      <c r="G90" t="s">
        <v>223</v>
      </c>
      <c r="H90">
        <v>108497</v>
      </c>
    </row>
    <row r="91" spans="1:22">
      <c r="A91" t="s">
        <v>2240</v>
      </c>
      <c r="B91" t="s">
        <v>2241</v>
      </c>
      <c r="C91" t="s">
        <v>2242</v>
      </c>
      <c r="D91" t="s">
        <v>2243</v>
      </c>
      <c r="E91" t="s">
        <v>2220</v>
      </c>
      <c r="F91">
        <v>202104</v>
      </c>
      <c r="G91" t="s">
        <v>225</v>
      </c>
      <c r="H91">
        <v>14226</v>
      </c>
    </row>
    <row r="92" spans="1:22">
      <c r="A92" t="s">
        <v>2240</v>
      </c>
      <c r="B92" t="s">
        <v>2241</v>
      </c>
      <c r="C92" t="s">
        <v>2242</v>
      </c>
      <c r="D92" t="s">
        <v>2243</v>
      </c>
      <c r="E92" t="s">
        <v>2220</v>
      </c>
      <c r="F92">
        <v>202105</v>
      </c>
      <c r="G92" t="s">
        <v>230</v>
      </c>
      <c r="H92">
        <v>889167</v>
      </c>
    </row>
    <row r="93" spans="1:22">
      <c r="A93" t="s">
        <v>2240</v>
      </c>
      <c r="B93" t="s">
        <v>2241</v>
      </c>
      <c r="C93" t="s">
        <v>2242</v>
      </c>
      <c r="D93" t="s">
        <v>2243</v>
      </c>
      <c r="E93" t="s">
        <v>2220</v>
      </c>
      <c r="F93">
        <v>202105</v>
      </c>
      <c r="G93" t="s">
        <v>231</v>
      </c>
      <c r="H93">
        <v>114601</v>
      </c>
    </row>
    <row r="94" spans="1:22">
      <c r="A94" t="s">
        <v>2240</v>
      </c>
      <c r="B94" t="s">
        <v>2241</v>
      </c>
      <c r="C94" t="s">
        <v>2242</v>
      </c>
      <c r="D94" t="s">
        <v>2243</v>
      </c>
      <c r="E94" t="s">
        <v>2220</v>
      </c>
      <c r="F94">
        <v>202105</v>
      </c>
      <c r="G94" t="s">
        <v>221</v>
      </c>
      <c r="H94">
        <v>903063</v>
      </c>
    </row>
    <row r="95" spans="1:22">
      <c r="A95" t="s">
        <v>2240</v>
      </c>
      <c r="B95" t="s">
        <v>2241</v>
      </c>
      <c r="C95" t="s">
        <v>2242</v>
      </c>
      <c r="D95" t="s">
        <v>2243</v>
      </c>
      <c r="E95" t="s">
        <v>2220</v>
      </c>
      <c r="F95">
        <v>202105</v>
      </c>
      <c r="G95" t="s">
        <v>223</v>
      </c>
      <c r="H95">
        <v>114601</v>
      </c>
    </row>
    <row r="96" spans="1:22">
      <c r="A96" t="s">
        <v>2240</v>
      </c>
      <c r="B96" t="s">
        <v>2241</v>
      </c>
      <c r="C96" t="s">
        <v>2242</v>
      </c>
      <c r="D96" t="s">
        <v>2243</v>
      </c>
      <c r="E96" t="s">
        <v>2220</v>
      </c>
      <c r="F96">
        <v>202105</v>
      </c>
      <c r="G96" t="s">
        <v>225</v>
      </c>
      <c r="H96">
        <v>13896</v>
      </c>
    </row>
    <row r="97" spans="1:8">
      <c r="A97" t="s">
        <v>2240</v>
      </c>
      <c r="B97" t="s">
        <v>2241</v>
      </c>
      <c r="C97" t="s">
        <v>2242</v>
      </c>
      <c r="D97" t="s">
        <v>2243</v>
      </c>
      <c r="E97" t="s">
        <v>2220</v>
      </c>
      <c r="F97">
        <v>202106</v>
      </c>
      <c r="G97" t="s">
        <v>230</v>
      </c>
      <c r="H97">
        <v>855897</v>
      </c>
    </row>
    <row r="98" spans="1:8">
      <c r="A98" t="s">
        <v>2240</v>
      </c>
      <c r="B98" t="s">
        <v>2241</v>
      </c>
      <c r="C98" t="s">
        <v>2242</v>
      </c>
      <c r="D98" t="s">
        <v>2243</v>
      </c>
      <c r="E98" t="s">
        <v>2220</v>
      </c>
      <c r="F98">
        <v>202106</v>
      </c>
      <c r="G98" t="s">
        <v>231</v>
      </c>
      <c r="H98">
        <v>115446</v>
      </c>
    </row>
    <row r="99" spans="1:8">
      <c r="A99" t="s">
        <v>2240</v>
      </c>
      <c r="B99" t="s">
        <v>2241</v>
      </c>
      <c r="C99" t="s">
        <v>2242</v>
      </c>
      <c r="D99" t="s">
        <v>2243</v>
      </c>
      <c r="E99" t="s">
        <v>2220</v>
      </c>
      <c r="F99">
        <v>202106</v>
      </c>
      <c r="G99" t="s">
        <v>221</v>
      </c>
      <c r="H99">
        <v>870153</v>
      </c>
    </row>
    <row r="100" spans="1:8">
      <c r="A100" t="s">
        <v>2240</v>
      </c>
      <c r="B100" t="s">
        <v>2241</v>
      </c>
      <c r="C100" t="s">
        <v>2242</v>
      </c>
      <c r="D100" t="s">
        <v>2243</v>
      </c>
      <c r="E100" t="s">
        <v>2220</v>
      </c>
      <c r="F100">
        <v>202106</v>
      </c>
      <c r="G100" t="s">
        <v>223</v>
      </c>
      <c r="H100">
        <v>115446</v>
      </c>
    </row>
    <row r="101" spans="1:8">
      <c r="A101" t="s">
        <v>2240</v>
      </c>
      <c r="B101" t="s">
        <v>2241</v>
      </c>
      <c r="C101" t="s">
        <v>2242</v>
      </c>
      <c r="D101" t="s">
        <v>2243</v>
      </c>
      <c r="E101" t="s">
        <v>2220</v>
      </c>
      <c r="F101">
        <v>202106</v>
      </c>
      <c r="G101" t="s">
        <v>225</v>
      </c>
      <c r="H101">
        <v>14256</v>
      </c>
    </row>
    <row r="102" spans="1:8">
      <c r="A102" t="s">
        <v>2240</v>
      </c>
      <c r="B102" t="s">
        <v>2241</v>
      </c>
      <c r="C102" t="s">
        <v>2242</v>
      </c>
      <c r="D102" t="s">
        <v>2243</v>
      </c>
      <c r="E102" t="s">
        <v>2220</v>
      </c>
      <c r="F102">
        <v>202107</v>
      </c>
      <c r="G102" t="s">
        <v>230</v>
      </c>
      <c r="H102">
        <v>820675</v>
      </c>
    </row>
    <row r="103" spans="1:8">
      <c r="A103" t="s">
        <v>2240</v>
      </c>
      <c r="B103" t="s">
        <v>2241</v>
      </c>
      <c r="C103" t="s">
        <v>2242</v>
      </c>
      <c r="D103" t="s">
        <v>2243</v>
      </c>
      <c r="E103" t="s">
        <v>2220</v>
      </c>
      <c r="F103">
        <v>202107</v>
      </c>
      <c r="G103" t="s">
        <v>231</v>
      </c>
      <c r="H103">
        <v>119528</v>
      </c>
    </row>
    <row r="104" spans="1:8">
      <c r="A104" t="s">
        <v>2240</v>
      </c>
      <c r="B104" t="s">
        <v>2241</v>
      </c>
      <c r="C104" t="s">
        <v>2242</v>
      </c>
      <c r="D104" t="s">
        <v>2243</v>
      </c>
      <c r="E104" t="s">
        <v>2220</v>
      </c>
      <c r="F104">
        <v>202107</v>
      </c>
      <c r="G104" t="s">
        <v>221</v>
      </c>
      <c r="H104">
        <v>835461</v>
      </c>
    </row>
    <row r="105" spans="1:8">
      <c r="A105" t="s">
        <v>2240</v>
      </c>
      <c r="B105" t="s">
        <v>2241</v>
      </c>
      <c r="C105" t="s">
        <v>2242</v>
      </c>
      <c r="D105" t="s">
        <v>2243</v>
      </c>
      <c r="E105" t="s">
        <v>2220</v>
      </c>
      <c r="F105">
        <v>202107</v>
      </c>
      <c r="G105" t="s">
        <v>223</v>
      </c>
      <c r="H105">
        <v>119528</v>
      </c>
    </row>
    <row r="106" spans="1:8">
      <c r="A106" t="s">
        <v>2240</v>
      </c>
      <c r="B106" t="s">
        <v>2241</v>
      </c>
      <c r="C106" t="s">
        <v>2242</v>
      </c>
      <c r="D106" t="s">
        <v>2243</v>
      </c>
      <c r="E106" t="s">
        <v>2220</v>
      </c>
      <c r="F106">
        <v>202107</v>
      </c>
      <c r="G106" t="s">
        <v>225</v>
      </c>
      <c r="H106">
        <v>14786</v>
      </c>
    </row>
    <row r="107" spans="1:8">
      <c r="A107" t="s">
        <v>2240</v>
      </c>
      <c r="B107" t="s">
        <v>2241</v>
      </c>
      <c r="C107" t="s">
        <v>2242</v>
      </c>
      <c r="D107" t="s">
        <v>2243</v>
      </c>
      <c r="E107" t="s">
        <v>2220</v>
      </c>
      <c r="F107">
        <v>202108</v>
      </c>
      <c r="G107" t="s">
        <v>230</v>
      </c>
      <c r="H107">
        <v>849997</v>
      </c>
    </row>
    <row r="108" spans="1:8">
      <c r="A108" t="s">
        <v>2240</v>
      </c>
      <c r="B108" t="s">
        <v>2241</v>
      </c>
      <c r="C108" t="s">
        <v>2242</v>
      </c>
      <c r="D108" t="s">
        <v>2243</v>
      </c>
      <c r="E108" t="s">
        <v>2220</v>
      </c>
      <c r="F108">
        <v>202108</v>
      </c>
      <c r="G108" t="s">
        <v>231</v>
      </c>
      <c r="H108">
        <v>121212</v>
      </c>
    </row>
    <row r="109" spans="1:8">
      <c r="A109" t="s">
        <v>2240</v>
      </c>
      <c r="B109" t="s">
        <v>2241</v>
      </c>
      <c r="C109" t="s">
        <v>2242</v>
      </c>
      <c r="D109" t="s">
        <v>2243</v>
      </c>
      <c r="E109" t="s">
        <v>2220</v>
      </c>
      <c r="F109">
        <v>202108</v>
      </c>
      <c r="G109" t="s">
        <v>221</v>
      </c>
      <c r="H109">
        <v>864783</v>
      </c>
    </row>
    <row r="110" spans="1:8">
      <c r="A110" t="s">
        <v>2240</v>
      </c>
      <c r="B110" t="s">
        <v>2241</v>
      </c>
      <c r="C110" t="s">
        <v>2242</v>
      </c>
      <c r="D110" t="s">
        <v>2243</v>
      </c>
      <c r="E110" t="s">
        <v>2220</v>
      </c>
      <c r="F110">
        <v>202108</v>
      </c>
      <c r="G110" t="s">
        <v>223</v>
      </c>
      <c r="H110">
        <v>121212</v>
      </c>
    </row>
    <row r="111" spans="1:8">
      <c r="A111" t="s">
        <v>2240</v>
      </c>
      <c r="B111" t="s">
        <v>2241</v>
      </c>
      <c r="C111" t="s">
        <v>2242</v>
      </c>
      <c r="D111" t="s">
        <v>2243</v>
      </c>
      <c r="E111" t="s">
        <v>2220</v>
      </c>
      <c r="F111">
        <v>202108</v>
      </c>
      <c r="G111" t="s">
        <v>225</v>
      </c>
      <c r="H111">
        <v>14786</v>
      </c>
    </row>
    <row r="112" spans="1:8">
      <c r="A112" t="s">
        <v>2240</v>
      </c>
      <c r="B112" t="s">
        <v>2241</v>
      </c>
      <c r="C112" t="s">
        <v>2242</v>
      </c>
      <c r="D112" t="s">
        <v>2243</v>
      </c>
      <c r="E112" t="s">
        <v>2220</v>
      </c>
      <c r="F112">
        <v>202109</v>
      </c>
      <c r="G112" t="s">
        <v>230</v>
      </c>
      <c r="H112">
        <v>875002</v>
      </c>
    </row>
    <row r="113" spans="1:8">
      <c r="A113" t="s">
        <v>2240</v>
      </c>
      <c r="B113" t="s">
        <v>2241</v>
      </c>
      <c r="C113" t="s">
        <v>2242</v>
      </c>
      <c r="D113" t="s">
        <v>2243</v>
      </c>
      <c r="E113" t="s">
        <v>2220</v>
      </c>
      <c r="F113">
        <v>202109</v>
      </c>
      <c r="G113" t="s">
        <v>231</v>
      </c>
      <c r="H113">
        <v>117648</v>
      </c>
    </row>
    <row r="114" spans="1:8">
      <c r="A114" t="s">
        <v>2240</v>
      </c>
      <c r="B114" t="s">
        <v>2241</v>
      </c>
      <c r="C114" t="s">
        <v>2242</v>
      </c>
      <c r="D114" t="s">
        <v>2243</v>
      </c>
      <c r="E114" t="s">
        <v>2220</v>
      </c>
      <c r="F114">
        <v>202109</v>
      </c>
      <c r="G114" t="s">
        <v>221</v>
      </c>
      <c r="H114">
        <v>890678</v>
      </c>
    </row>
    <row r="115" spans="1:8">
      <c r="A115" t="s">
        <v>2240</v>
      </c>
      <c r="B115" t="s">
        <v>2241</v>
      </c>
      <c r="C115" t="s">
        <v>2242</v>
      </c>
      <c r="D115" t="s">
        <v>2243</v>
      </c>
      <c r="E115" t="s">
        <v>2220</v>
      </c>
      <c r="F115">
        <v>202109</v>
      </c>
      <c r="G115" t="s">
        <v>223</v>
      </c>
      <c r="H115">
        <v>117648</v>
      </c>
    </row>
    <row r="116" spans="1:8">
      <c r="A116" t="s">
        <v>2240</v>
      </c>
      <c r="B116" t="s">
        <v>2241</v>
      </c>
      <c r="C116" t="s">
        <v>2242</v>
      </c>
      <c r="D116" t="s">
        <v>2243</v>
      </c>
      <c r="E116" t="s">
        <v>2220</v>
      </c>
      <c r="F116">
        <v>202109</v>
      </c>
      <c r="G116" t="s">
        <v>225</v>
      </c>
      <c r="H116">
        <v>15676</v>
      </c>
    </row>
    <row r="117" spans="1:8">
      <c r="A117" t="s">
        <v>2240</v>
      </c>
      <c r="B117" t="s">
        <v>2241</v>
      </c>
      <c r="C117" t="s">
        <v>2242</v>
      </c>
      <c r="D117" t="s">
        <v>2243</v>
      </c>
      <c r="E117" t="s">
        <v>2220</v>
      </c>
      <c r="F117">
        <v>202110</v>
      </c>
      <c r="G117" t="s">
        <v>230</v>
      </c>
      <c r="H117">
        <v>985784</v>
      </c>
    </row>
    <row r="118" spans="1:8">
      <c r="A118" t="s">
        <v>2240</v>
      </c>
      <c r="B118" t="s">
        <v>2241</v>
      </c>
      <c r="C118" t="s">
        <v>2242</v>
      </c>
      <c r="D118" t="s">
        <v>2243</v>
      </c>
      <c r="E118" t="s">
        <v>2220</v>
      </c>
      <c r="F118">
        <v>202110</v>
      </c>
      <c r="G118" t="s">
        <v>231</v>
      </c>
      <c r="H118">
        <v>115674</v>
      </c>
    </row>
    <row r="119" spans="1:8">
      <c r="A119" t="s">
        <v>2240</v>
      </c>
      <c r="B119" t="s">
        <v>2241</v>
      </c>
      <c r="C119" t="s">
        <v>2242</v>
      </c>
      <c r="D119" t="s">
        <v>2243</v>
      </c>
      <c r="E119" t="s">
        <v>2220</v>
      </c>
      <c r="F119">
        <v>202110</v>
      </c>
      <c r="G119" t="s">
        <v>221</v>
      </c>
      <c r="H119">
        <v>1001430</v>
      </c>
    </row>
    <row r="120" spans="1:8">
      <c r="A120" t="s">
        <v>2240</v>
      </c>
      <c r="B120" t="s">
        <v>2241</v>
      </c>
      <c r="C120" t="s">
        <v>2242</v>
      </c>
      <c r="D120" t="s">
        <v>2243</v>
      </c>
      <c r="E120" t="s">
        <v>2220</v>
      </c>
      <c r="F120">
        <v>202110</v>
      </c>
      <c r="G120" t="s">
        <v>223</v>
      </c>
      <c r="H120">
        <v>115674</v>
      </c>
    </row>
    <row r="121" spans="1:8">
      <c r="A121" t="s">
        <v>2240</v>
      </c>
      <c r="B121" t="s">
        <v>2241</v>
      </c>
      <c r="C121" t="s">
        <v>2242</v>
      </c>
      <c r="D121" t="s">
        <v>2243</v>
      </c>
      <c r="E121" t="s">
        <v>2220</v>
      </c>
      <c r="F121">
        <v>202110</v>
      </c>
      <c r="G121" t="s">
        <v>225</v>
      </c>
      <c r="H121">
        <v>15646</v>
      </c>
    </row>
    <row r="122" spans="1:8">
      <c r="A122" t="s">
        <v>2240</v>
      </c>
      <c r="B122" t="s">
        <v>2241</v>
      </c>
      <c r="C122" t="s">
        <v>2242</v>
      </c>
      <c r="D122" t="s">
        <v>2243</v>
      </c>
      <c r="E122" t="s">
        <v>2220</v>
      </c>
      <c r="F122">
        <v>202111</v>
      </c>
      <c r="G122" t="s">
        <v>230</v>
      </c>
      <c r="H122">
        <v>962456</v>
      </c>
    </row>
    <row r="123" spans="1:8">
      <c r="A123" t="s">
        <v>2240</v>
      </c>
      <c r="B123" t="s">
        <v>2241</v>
      </c>
      <c r="C123" t="s">
        <v>2242</v>
      </c>
      <c r="D123" t="s">
        <v>2243</v>
      </c>
      <c r="E123" t="s">
        <v>2220</v>
      </c>
      <c r="F123">
        <v>202111</v>
      </c>
      <c r="G123" t="s">
        <v>231</v>
      </c>
      <c r="H123">
        <v>115579</v>
      </c>
    </row>
    <row r="124" spans="1:8">
      <c r="A124" t="s">
        <v>2240</v>
      </c>
      <c r="B124" t="s">
        <v>2241</v>
      </c>
      <c r="C124" t="s">
        <v>2242</v>
      </c>
      <c r="D124" t="s">
        <v>2243</v>
      </c>
      <c r="E124" t="s">
        <v>2220</v>
      </c>
      <c r="F124">
        <v>202111</v>
      </c>
      <c r="G124" t="s">
        <v>221</v>
      </c>
      <c r="H124">
        <v>976822</v>
      </c>
    </row>
    <row r="125" spans="1:8">
      <c r="A125" t="s">
        <v>2240</v>
      </c>
      <c r="B125" t="s">
        <v>2241</v>
      </c>
      <c r="C125" t="s">
        <v>2242</v>
      </c>
      <c r="D125" t="s">
        <v>2243</v>
      </c>
      <c r="E125" t="s">
        <v>2220</v>
      </c>
      <c r="F125">
        <v>202111</v>
      </c>
      <c r="G125" t="s">
        <v>223</v>
      </c>
      <c r="H125">
        <v>115579</v>
      </c>
    </row>
    <row r="126" spans="1:8">
      <c r="A126" t="s">
        <v>2240</v>
      </c>
      <c r="B126" t="s">
        <v>2241</v>
      </c>
      <c r="C126" t="s">
        <v>2242</v>
      </c>
      <c r="D126" t="s">
        <v>2243</v>
      </c>
      <c r="E126" t="s">
        <v>2220</v>
      </c>
      <c r="F126">
        <v>202111</v>
      </c>
      <c r="G126" t="s">
        <v>225</v>
      </c>
      <c r="H126">
        <v>14366</v>
      </c>
    </row>
    <row r="127" spans="1:8">
      <c r="A127" t="s">
        <v>2240</v>
      </c>
      <c r="B127" t="s">
        <v>2241</v>
      </c>
      <c r="C127" t="s">
        <v>2242</v>
      </c>
      <c r="D127" t="s">
        <v>2243</v>
      </c>
      <c r="E127" t="s">
        <v>2220</v>
      </c>
      <c r="F127">
        <v>202112</v>
      </c>
      <c r="G127" t="s">
        <v>230</v>
      </c>
      <c r="H127">
        <v>987181</v>
      </c>
    </row>
    <row r="128" spans="1:8">
      <c r="A128" t="s">
        <v>2240</v>
      </c>
      <c r="B128" t="s">
        <v>2241</v>
      </c>
      <c r="C128" t="s">
        <v>2242</v>
      </c>
      <c r="D128" t="s">
        <v>2243</v>
      </c>
      <c r="E128" t="s">
        <v>2220</v>
      </c>
      <c r="F128">
        <v>202112</v>
      </c>
      <c r="G128" t="s">
        <v>231</v>
      </c>
      <c r="H128">
        <v>130245</v>
      </c>
    </row>
    <row r="129" spans="1:8">
      <c r="A129" t="s">
        <v>2240</v>
      </c>
      <c r="B129" t="s">
        <v>2241</v>
      </c>
      <c r="C129" t="s">
        <v>2242</v>
      </c>
      <c r="D129" t="s">
        <v>2243</v>
      </c>
      <c r="E129" t="s">
        <v>2220</v>
      </c>
      <c r="F129">
        <v>202112</v>
      </c>
      <c r="G129" t="s">
        <v>221</v>
      </c>
      <c r="H129">
        <v>999567</v>
      </c>
    </row>
    <row r="130" spans="1:8">
      <c r="A130" t="s">
        <v>2240</v>
      </c>
      <c r="B130" t="s">
        <v>2241</v>
      </c>
      <c r="C130" t="s">
        <v>2242</v>
      </c>
      <c r="D130" t="s">
        <v>2243</v>
      </c>
      <c r="E130" t="s">
        <v>2220</v>
      </c>
      <c r="F130">
        <v>202112</v>
      </c>
      <c r="G130" t="s">
        <v>223</v>
      </c>
      <c r="H130">
        <v>130245</v>
      </c>
    </row>
    <row r="131" spans="1:8">
      <c r="A131" t="s">
        <v>2240</v>
      </c>
      <c r="B131" t="s">
        <v>2241</v>
      </c>
      <c r="C131" t="s">
        <v>2242</v>
      </c>
      <c r="D131" t="s">
        <v>2243</v>
      </c>
      <c r="E131" t="s">
        <v>2220</v>
      </c>
      <c r="F131">
        <v>202112</v>
      </c>
      <c r="G131" t="s">
        <v>225</v>
      </c>
      <c r="H131">
        <v>12386</v>
      </c>
    </row>
    <row r="132" spans="1:8">
      <c r="A132" t="s">
        <v>2240</v>
      </c>
      <c r="B132" t="s">
        <v>2241</v>
      </c>
      <c r="C132" t="s">
        <v>2242</v>
      </c>
      <c r="D132" t="s">
        <v>2243</v>
      </c>
      <c r="E132" t="s">
        <v>2220</v>
      </c>
      <c r="F132">
        <v>202201</v>
      </c>
      <c r="G132" t="s">
        <v>230</v>
      </c>
      <c r="H132">
        <v>1025789.32</v>
      </c>
    </row>
    <row r="133" spans="1:8">
      <c r="A133" t="s">
        <v>2240</v>
      </c>
      <c r="B133" t="s">
        <v>2241</v>
      </c>
      <c r="C133" t="s">
        <v>2242</v>
      </c>
      <c r="D133" t="s">
        <v>2243</v>
      </c>
      <c r="E133" t="s">
        <v>2220</v>
      </c>
      <c r="F133">
        <v>202201</v>
      </c>
      <c r="G133" t="s">
        <v>231</v>
      </c>
      <c r="H133">
        <v>119048.58</v>
      </c>
    </row>
    <row r="134" spans="1:8">
      <c r="A134" t="s">
        <v>2240</v>
      </c>
      <c r="B134" t="s">
        <v>2241</v>
      </c>
      <c r="C134" t="s">
        <v>2242</v>
      </c>
      <c r="D134" t="s">
        <v>2243</v>
      </c>
      <c r="E134" t="s">
        <v>2220</v>
      </c>
      <c r="F134">
        <v>202201</v>
      </c>
      <c r="G134" t="s">
        <v>221</v>
      </c>
      <c r="H134">
        <v>1038175.32</v>
      </c>
    </row>
    <row r="135" spans="1:8">
      <c r="A135" t="s">
        <v>2240</v>
      </c>
      <c r="B135" t="s">
        <v>2241</v>
      </c>
      <c r="C135" t="s">
        <v>2242</v>
      </c>
      <c r="D135" t="s">
        <v>2243</v>
      </c>
      <c r="E135" t="s">
        <v>2220</v>
      </c>
      <c r="F135">
        <v>202201</v>
      </c>
      <c r="G135" t="s">
        <v>223</v>
      </c>
      <c r="H135">
        <v>119048.58</v>
      </c>
    </row>
    <row r="136" spans="1:8">
      <c r="A136" t="s">
        <v>2240</v>
      </c>
      <c r="B136" t="s">
        <v>2241</v>
      </c>
      <c r="C136" t="s">
        <v>2242</v>
      </c>
      <c r="D136" t="s">
        <v>2243</v>
      </c>
      <c r="E136" t="s">
        <v>2220</v>
      </c>
      <c r="F136">
        <v>202201</v>
      </c>
      <c r="G136" t="s">
        <v>225</v>
      </c>
      <c r="H136">
        <v>12386</v>
      </c>
    </row>
    <row r="137" spans="1:8">
      <c r="A137" t="s">
        <v>2240</v>
      </c>
      <c r="B137" t="s">
        <v>2241</v>
      </c>
      <c r="C137" t="s">
        <v>2242</v>
      </c>
      <c r="D137" t="s">
        <v>2243</v>
      </c>
      <c r="E137" t="s">
        <v>2220</v>
      </c>
      <c r="F137">
        <v>202202</v>
      </c>
      <c r="G137" t="s">
        <v>230</v>
      </c>
      <c r="H137">
        <v>988729.18</v>
      </c>
    </row>
    <row r="138" spans="1:8">
      <c r="A138" t="s">
        <v>2240</v>
      </c>
      <c r="B138" t="s">
        <v>2241</v>
      </c>
      <c r="C138" t="s">
        <v>2242</v>
      </c>
      <c r="D138" t="s">
        <v>2243</v>
      </c>
      <c r="E138" t="s">
        <v>2220</v>
      </c>
      <c r="F138">
        <v>202202</v>
      </c>
      <c r="G138" t="s">
        <v>231</v>
      </c>
      <c r="H138">
        <v>117363.12</v>
      </c>
    </row>
    <row r="139" spans="1:8">
      <c r="A139" t="s">
        <v>2240</v>
      </c>
      <c r="B139" t="s">
        <v>2241</v>
      </c>
      <c r="C139" t="s">
        <v>2242</v>
      </c>
      <c r="D139" t="s">
        <v>2243</v>
      </c>
      <c r="E139" t="s">
        <v>2220</v>
      </c>
      <c r="F139">
        <v>202202</v>
      </c>
      <c r="G139" t="s">
        <v>221</v>
      </c>
      <c r="H139">
        <v>999822.18</v>
      </c>
    </row>
    <row r="140" spans="1:8">
      <c r="A140" t="s">
        <v>2240</v>
      </c>
      <c r="B140" t="s">
        <v>2241</v>
      </c>
      <c r="C140" t="s">
        <v>2242</v>
      </c>
      <c r="D140" t="s">
        <v>2243</v>
      </c>
      <c r="E140" t="s">
        <v>2220</v>
      </c>
      <c r="F140">
        <v>202202</v>
      </c>
      <c r="G140" t="s">
        <v>223</v>
      </c>
      <c r="H140">
        <v>117363.12</v>
      </c>
    </row>
    <row r="141" spans="1:8">
      <c r="A141" t="s">
        <v>2240</v>
      </c>
      <c r="B141" t="s">
        <v>2241</v>
      </c>
      <c r="C141" t="s">
        <v>2242</v>
      </c>
      <c r="D141" t="s">
        <v>2243</v>
      </c>
      <c r="E141" t="s">
        <v>2220</v>
      </c>
      <c r="F141">
        <v>202202</v>
      </c>
      <c r="G141" t="s">
        <v>225</v>
      </c>
      <c r="H141">
        <v>11093</v>
      </c>
    </row>
    <row r="142" spans="1:8">
      <c r="A142" t="s">
        <v>2240</v>
      </c>
      <c r="B142" t="s">
        <v>2241</v>
      </c>
      <c r="C142" t="s">
        <v>2242</v>
      </c>
      <c r="D142" t="s">
        <v>2243</v>
      </c>
      <c r="E142" t="s">
        <v>2220</v>
      </c>
      <c r="F142">
        <v>202203</v>
      </c>
      <c r="G142" t="s">
        <v>230</v>
      </c>
      <c r="H142">
        <v>1007846.44</v>
      </c>
    </row>
    <row r="143" spans="1:8">
      <c r="A143" t="s">
        <v>2240</v>
      </c>
      <c r="B143" t="s">
        <v>2241</v>
      </c>
      <c r="C143" t="s">
        <v>2242</v>
      </c>
      <c r="D143" t="s">
        <v>2243</v>
      </c>
      <c r="E143" t="s">
        <v>2220</v>
      </c>
      <c r="F143">
        <v>202203</v>
      </c>
      <c r="G143" t="s">
        <v>231</v>
      </c>
      <c r="H143">
        <v>124961.76</v>
      </c>
    </row>
    <row r="144" spans="1:8">
      <c r="A144" t="s">
        <v>2240</v>
      </c>
      <c r="B144" t="s">
        <v>2241</v>
      </c>
      <c r="C144" t="s">
        <v>2242</v>
      </c>
      <c r="D144" t="s">
        <v>2243</v>
      </c>
      <c r="E144" t="s">
        <v>2220</v>
      </c>
      <c r="F144">
        <v>202203</v>
      </c>
      <c r="G144" t="s">
        <v>221</v>
      </c>
      <c r="H144">
        <v>1019836.44</v>
      </c>
    </row>
    <row r="145" spans="1:8">
      <c r="A145" t="s">
        <v>2240</v>
      </c>
      <c r="B145" t="s">
        <v>2241</v>
      </c>
      <c r="C145" t="s">
        <v>2242</v>
      </c>
      <c r="D145" t="s">
        <v>2243</v>
      </c>
      <c r="E145" t="s">
        <v>2220</v>
      </c>
      <c r="F145">
        <v>202203</v>
      </c>
      <c r="G145" t="s">
        <v>223</v>
      </c>
      <c r="H145">
        <v>124961.76</v>
      </c>
    </row>
    <row r="146" spans="1:8">
      <c r="A146" t="s">
        <v>2240</v>
      </c>
      <c r="B146" t="s">
        <v>2241</v>
      </c>
      <c r="C146" t="s">
        <v>2242</v>
      </c>
      <c r="D146" t="s">
        <v>2243</v>
      </c>
      <c r="E146" t="s">
        <v>2220</v>
      </c>
      <c r="F146">
        <v>202203</v>
      </c>
      <c r="G146" t="s">
        <v>225</v>
      </c>
      <c r="H146">
        <v>11990</v>
      </c>
    </row>
    <row r="147" spans="1:8">
      <c r="A147" t="s">
        <v>2240</v>
      </c>
      <c r="B147" t="s">
        <v>2241</v>
      </c>
      <c r="C147" t="s">
        <v>2242</v>
      </c>
      <c r="D147" t="s">
        <v>2243</v>
      </c>
      <c r="E147" t="s">
        <v>2220</v>
      </c>
      <c r="F147">
        <v>202204</v>
      </c>
      <c r="G147" t="s">
        <v>230</v>
      </c>
      <c r="H147">
        <v>1015051.52</v>
      </c>
    </row>
    <row r="148" spans="1:8">
      <c r="A148" t="s">
        <v>2240</v>
      </c>
      <c r="B148" t="s">
        <v>2241</v>
      </c>
      <c r="C148" t="s">
        <v>2242</v>
      </c>
      <c r="D148" t="s">
        <v>2243</v>
      </c>
      <c r="E148" t="s">
        <v>2220</v>
      </c>
      <c r="F148">
        <v>202204</v>
      </c>
      <c r="G148" t="s">
        <v>231</v>
      </c>
      <c r="H148">
        <v>112252.14</v>
      </c>
    </row>
    <row r="149" spans="1:8">
      <c r="A149" t="s">
        <v>2240</v>
      </c>
      <c r="B149" t="s">
        <v>2241</v>
      </c>
      <c r="C149" t="s">
        <v>2242</v>
      </c>
      <c r="D149" t="s">
        <v>2243</v>
      </c>
      <c r="E149" t="s">
        <v>2220</v>
      </c>
      <c r="F149">
        <v>202204</v>
      </c>
      <c r="G149" t="s">
        <v>221</v>
      </c>
      <c r="H149">
        <v>1026587.52</v>
      </c>
    </row>
    <row r="150" spans="1:8">
      <c r="A150" t="s">
        <v>2240</v>
      </c>
      <c r="B150" t="s">
        <v>2241</v>
      </c>
      <c r="C150" t="s">
        <v>2242</v>
      </c>
      <c r="D150" t="s">
        <v>2243</v>
      </c>
      <c r="E150" t="s">
        <v>2220</v>
      </c>
      <c r="F150">
        <v>202204</v>
      </c>
      <c r="G150" t="s">
        <v>223</v>
      </c>
      <c r="H150">
        <v>112252.14</v>
      </c>
    </row>
    <row r="151" spans="1:8">
      <c r="A151" t="s">
        <v>2240</v>
      </c>
      <c r="B151" t="s">
        <v>2241</v>
      </c>
      <c r="C151" t="s">
        <v>2242</v>
      </c>
      <c r="D151" t="s">
        <v>2243</v>
      </c>
      <c r="E151" t="s">
        <v>2220</v>
      </c>
      <c r="F151">
        <v>202204</v>
      </c>
      <c r="G151" t="s">
        <v>225</v>
      </c>
      <c r="H151">
        <v>11536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workbookViewId="0"/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2199</v>
      </c>
    </row>
    <row r="3" spans="1:50">
      <c r="A3" s="63" t="s">
        <v>235</v>
      </c>
      <c r="AI3" t="s">
        <v>2200</v>
      </c>
    </row>
    <row r="4" spans="1:50">
      <c r="A4" s="63" t="s">
        <v>236</v>
      </c>
    </row>
    <row r="7" spans="1:50">
      <c r="A7" s="656" t="s">
        <v>237</v>
      </c>
      <c r="M7" t="s">
        <v>2191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5" t="s">
        <v>238</v>
      </c>
      <c r="B9" s="515" t="s">
        <v>239</v>
      </c>
      <c r="C9" s="515" t="s">
        <v>240</v>
      </c>
      <c r="D9" s="515" t="s">
        <v>241</v>
      </c>
      <c r="E9" s="515" t="s">
        <v>242</v>
      </c>
      <c r="F9" s="515" t="s">
        <v>243</v>
      </c>
      <c r="G9" s="515" t="s">
        <v>244</v>
      </c>
      <c r="H9" s="515" t="s">
        <v>245</v>
      </c>
      <c r="I9" s="515" t="s">
        <v>246</v>
      </c>
      <c r="J9" s="515" t="s">
        <v>247</v>
      </c>
      <c r="K9" s="515" t="s">
        <v>248</v>
      </c>
      <c r="L9" s="515" t="s">
        <v>249</v>
      </c>
      <c r="M9" s="515" t="s">
        <v>250</v>
      </c>
      <c r="N9" s="515" t="s">
        <v>251</v>
      </c>
      <c r="O9" s="515" t="s">
        <v>252</v>
      </c>
      <c r="P9" s="515" t="s">
        <v>253</v>
      </c>
      <c r="Q9" s="515" t="s">
        <v>254</v>
      </c>
      <c r="R9" s="515" t="s">
        <v>255</v>
      </c>
      <c r="S9" s="515" t="s">
        <v>256</v>
      </c>
      <c r="T9" s="515" t="s">
        <v>257</v>
      </c>
      <c r="U9" s="516" t="s">
        <v>258</v>
      </c>
      <c r="V9" s="515" t="s">
        <v>259</v>
      </c>
      <c r="W9" s="515" t="s">
        <v>260</v>
      </c>
      <c r="X9" s="516" t="s">
        <v>261</v>
      </c>
      <c r="Y9" s="516" t="s">
        <v>262</v>
      </c>
      <c r="Z9" s="516" t="s">
        <v>263</v>
      </c>
      <c r="AA9" s="516" t="s">
        <v>264</v>
      </c>
      <c r="AB9" s="516" t="s">
        <v>265</v>
      </c>
      <c r="AC9" s="516" t="s">
        <v>266</v>
      </c>
      <c r="AD9" s="516" t="s">
        <v>267</v>
      </c>
      <c r="AE9" s="516" t="s">
        <v>268</v>
      </c>
      <c r="AF9" s="516" t="s">
        <v>269</v>
      </c>
      <c r="AG9" s="516" t="s">
        <v>270</v>
      </c>
      <c r="AH9" s="516" t="s">
        <v>271</v>
      </c>
      <c r="AI9" s="516" t="s">
        <v>272</v>
      </c>
      <c r="AJ9" s="516" t="s">
        <v>273</v>
      </c>
      <c r="AK9" s="516" t="s">
        <v>274</v>
      </c>
      <c r="AL9" s="516" t="s">
        <v>275</v>
      </c>
      <c r="AM9" s="516" t="s">
        <v>276</v>
      </c>
      <c r="AN9" s="516" t="s">
        <v>277</v>
      </c>
      <c r="AR9" s="811" t="s">
        <v>238</v>
      </c>
      <c r="AS9" s="812" t="s">
        <v>278</v>
      </c>
    </row>
    <row r="10" spans="1:50" s="9" customFormat="1" ht="31.5" hidden="1">
      <c r="A10" s="631" t="s">
        <v>279</v>
      </c>
      <c r="B10" s="631" t="s">
        <v>280</v>
      </c>
      <c r="C10" s="631">
        <v>5381</v>
      </c>
      <c r="D10" s="631" t="s">
        <v>281</v>
      </c>
      <c r="E10" s="631" t="s">
        <v>282</v>
      </c>
      <c r="F10" s="631" t="s">
        <v>283</v>
      </c>
      <c r="G10" s="631" t="s">
        <v>284</v>
      </c>
      <c r="H10" s="631">
        <v>3.7699999999999997E-2</v>
      </c>
      <c r="I10" s="631" t="s">
        <v>285</v>
      </c>
      <c r="J10" s="631">
        <v>104</v>
      </c>
      <c r="K10" s="631" t="s">
        <v>164</v>
      </c>
      <c r="L10" s="631">
        <v>145</v>
      </c>
      <c r="M10" s="814">
        <v>0</v>
      </c>
      <c r="N10" s="1627"/>
      <c r="O10" s="1627" t="s">
        <v>2192</v>
      </c>
      <c r="P10" s="818">
        <v>0.18360000000000001</v>
      </c>
      <c r="Q10" s="1627">
        <v>16758759.762993418</v>
      </c>
      <c r="R10" s="1630">
        <v>44531</v>
      </c>
      <c r="S10" s="1627" t="s">
        <v>2203</v>
      </c>
      <c r="T10" s="631" t="s">
        <v>286</v>
      </c>
      <c r="U10" s="741" t="s">
        <v>287</v>
      </c>
      <c r="V10" s="1631">
        <v>2024</v>
      </c>
      <c r="W10" s="1632">
        <v>2974</v>
      </c>
      <c r="X10" s="1633" t="s">
        <v>2194</v>
      </c>
      <c r="Y10" s="818">
        <v>1.15E-2</v>
      </c>
      <c r="Z10" s="819">
        <v>0</v>
      </c>
      <c r="AA10" s="819" t="s">
        <v>288</v>
      </c>
      <c r="AB10" s="235">
        <v>39.72</v>
      </c>
      <c r="AC10" s="235">
        <v>539.16</v>
      </c>
      <c r="AD10" s="235">
        <v>3502812.67</v>
      </c>
      <c r="AE10" s="820">
        <v>42300</v>
      </c>
      <c r="AF10" s="820">
        <v>42300</v>
      </c>
      <c r="AG10" s="817">
        <v>0</v>
      </c>
      <c r="AH10" s="631"/>
      <c r="AI10" s="741">
        <v>41472</v>
      </c>
      <c r="AJ10" s="741">
        <v>42613</v>
      </c>
      <c r="AK10" s="741" t="s">
        <v>289</v>
      </c>
      <c r="AL10" s="741"/>
      <c r="AM10" s="741"/>
      <c r="AN10" s="1629"/>
      <c r="AO10" s="235"/>
      <c r="AP10" s="17"/>
      <c r="AR10" s="821" t="s">
        <v>290</v>
      </c>
      <c r="AS10" s="235"/>
      <c r="AT10" s="235"/>
      <c r="AX10" s="235"/>
    </row>
    <row r="11" spans="1:50" s="9" customFormat="1" ht="31.5" hidden="1">
      <c r="A11" s="631" t="s">
        <v>187</v>
      </c>
      <c r="B11" s="631" t="s">
        <v>291</v>
      </c>
      <c r="C11" s="631">
        <v>5366</v>
      </c>
      <c r="D11" s="631" t="s">
        <v>292</v>
      </c>
      <c r="E11" s="631" t="s">
        <v>282</v>
      </c>
      <c r="F11" s="631" t="s">
        <v>293</v>
      </c>
      <c r="G11" s="631" t="s">
        <v>284</v>
      </c>
      <c r="H11" s="631">
        <v>9.9699999999999997E-2</v>
      </c>
      <c r="I11" s="631" t="s">
        <v>164</v>
      </c>
      <c r="J11" s="631">
        <v>145</v>
      </c>
      <c r="K11" s="631"/>
      <c r="L11" s="631"/>
      <c r="M11" s="814">
        <v>0</v>
      </c>
      <c r="N11" s="1627"/>
      <c r="O11" s="1627" t="str">
        <f>O10</f>
        <v>ReH 2.995/2021</v>
      </c>
      <c r="P11" s="814">
        <v>8.7599999999999997E-2</v>
      </c>
      <c r="Q11" s="1627">
        <v>12051594.579145933</v>
      </c>
      <c r="R11" s="1630">
        <v>44531</v>
      </c>
      <c r="S11" s="1627" t="str">
        <f>S10</f>
        <v>Desp. 521/2022</v>
      </c>
      <c r="T11" s="631" t="s">
        <v>294</v>
      </c>
      <c r="U11" s="741" t="s">
        <v>295</v>
      </c>
      <c r="V11" s="1631">
        <v>2024</v>
      </c>
      <c r="W11" s="1632">
        <v>2944</v>
      </c>
      <c r="X11" s="1633" t="s">
        <v>2198</v>
      </c>
      <c r="Y11" s="631"/>
      <c r="AA11" s="819" t="s">
        <v>164</v>
      </c>
      <c r="AB11" s="817">
        <v>39.799999999999997</v>
      </c>
      <c r="AC11" s="822">
        <v>133.91999999999999</v>
      </c>
      <c r="AD11" s="822">
        <v>2423958.41</v>
      </c>
      <c r="AE11" s="741">
        <v>43678</v>
      </c>
      <c r="AF11" s="741">
        <v>43678</v>
      </c>
      <c r="AG11" s="817">
        <v>0</v>
      </c>
      <c r="AH11" s="631"/>
      <c r="AI11" s="741">
        <v>41472</v>
      </c>
      <c r="AJ11" s="741">
        <v>42613</v>
      </c>
      <c r="AK11" s="741" t="s">
        <v>289</v>
      </c>
      <c r="AL11" s="741"/>
      <c r="AM11" s="741"/>
      <c r="AN11" s="1629"/>
      <c r="AO11" s="235"/>
      <c r="AP11" s="17"/>
      <c r="AR11" s="821" t="s">
        <v>279</v>
      </c>
      <c r="AS11" s="235"/>
      <c r="AT11" s="235"/>
      <c r="AX11" s="235"/>
    </row>
    <row r="12" spans="1:50" s="9" customFormat="1" ht="31.5" hidden="1">
      <c r="A12" s="631" t="s">
        <v>296</v>
      </c>
      <c r="B12" s="631" t="s">
        <v>297</v>
      </c>
      <c r="C12" s="631">
        <v>5386</v>
      </c>
      <c r="D12" s="631" t="s">
        <v>298</v>
      </c>
      <c r="E12" s="631" t="s">
        <v>282</v>
      </c>
      <c r="F12" s="631" t="s">
        <v>299</v>
      </c>
      <c r="G12" s="631" t="s">
        <v>284</v>
      </c>
      <c r="H12" s="631">
        <v>3.7699999999999997E-2</v>
      </c>
      <c r="I12" s="631" t="s">
        <v>178</v>
      </c>
      <c r="J12" s="631">
        <v>135</v>
      </c>
      <c r="K12" s="631"/>
      <c r="L12" s="631"/>
      <c r="M12" s="814">
        <v>0</v>
      </c>
      <c r="N12" s="1627"/>
      <c r="O12" s="1627" t="str">
        <f t="shared" ref="O12:O61" si="9">O11</f>
        <v>ReH 2.995/2021</v>
      </c>
      <c r="P12" s="814">
        <v>0.1298</v>
      </c>
      <c r="Q12" s="1627">
        <v>17888427.870995689</v>
      </c>
      <c r="R12" s="1630">
        <v>44531</v>
      </c>
      <c r="S12" s="1627" t="str">
        <f t="shared" ref="S12:S61" si="10">S11</f>
        <v>Desp. 521/2022</v>
      </c>
      <c r="T12" s="631" t="s">
        <v>300</v>
      </c>
      <c r="U12" s="741" t="s">
        <v>295</v>
      </c>
      <c r="V12" s="1631">
        <v>2024</v>
      </c>
      <c r="W12" s="1632">
        <v>2977</v>
      </c>
      <c r="X12" s="1633" t="s">
        <v>2194</v>
      </c>
      <c r="Y12" s="818">
        <v>1.15E-2</v>
      </c>
      <c r="Z12" s="819">
        <v>-0.02</v>
      </c>
      <c r="AA12" s="819" t="s">
        <v>301</v>
      </c>
      <c r="AB12" s="817">
        <v>45.63</v>
      </c>
      <c r="AC12" s="822">
        <v>532.64</v>
      </c>
      <c r="AD12" s="822">
        <v>5694629.8099999996</v>
      </c>
      <c r="AE12" s="741">
        <v>43739</v>
      </c>
      <c r="AF12" s="741">
        <v>43739</v>
      </c>
      <c r="AG12" s="817">
        <v>0</v>
      </c>
      <c r="AH12" s="631"/>
      <c r="AI12" s="741">
        <v>41472</v>
      </c>
      <c r="AJ12" s="741">
        <v>42673</v>
      </c>
      <c r="AK12" s="741" t="s">
        <v>289</v>
      </c>
      <c r="AL12" s="741"/>
      <c r="AM12" s="741"/>
      <c r="AN12" s="1629"/>
      <c r="AO12" s="235"/>
      <c r="AP12" s="17"/>
      <c r="AR12" s="821" t="s">
        <v>187</v>
      </c>
      <c r="AS12" s="235"/>
      <c r="AT12" s="235"/>
      <c r="AX12" s="235"/>
    </row>
    <row r="13" spans="1:50" s="9" customFormat="1" ht="31.5" hidden="1">
      <c r="A13" s="631" t="s">
        <v>302</v>
      </c>
      <c r="B13" s="631" t="s">
        <v>303</v>
      </c>
      <c r="C13" s="631">
        <v>5378</v>
      </c>
      <c r="D13" s="631" t="s">
        <v>304</v>
      </c>
      <c r="E13" s="631" t="s">
        <v>282</v>
      </c>
      <c r="F13" s="631" t="s">
        <v>305</v>
      </c>
      <c r="G13" s="631" t="s">
        <v>284</v>
      </c>
      <c r="H13" s="631">
        <v>9.9699999999999997E-2</v>
      </c>
      <c r="I13" s="631" t="s">
        <v>204</v>
      </c>
      <c r="J13" s="631">
        <v>166</v>
      </c>
      <c r="K13" s="631" t="s">
        <v>164</v>
      </c>
      <c r="L13" s="631">
        <v>145</v>
      </c>
      <c r="M13" s="814">
        <v>0</v>
      </c>
      <c r="N13" s="1627"/>
      <c r="O13" s="1627" t="str">
        <f t="shared" si="9"/>
        <v>ReH 2.995/2021</v>
      </c>
      <c r="P13" s="814">
        <v>0.1832</v>
      </c>
      <c r="Q13" s="1627">
        <v>51573900.56414932</v>
      </c>
      <c r="R13" s="1630">
        <v>44531</v>
      </c>
      <c r="S13" s="1627" t="str">
        <f t="shared" si="10"/>
        <v>Desp. 521/2022</v>
      </c>
      <c r="T13" s="631" t="s">
        <v>306</v>
      </c>
      <c r="U13" s="741" t="s">
        <v>295</v>
      </c>
      <c r="V13" s="1631">
        <v>2024</v>
      </c>
      <c r="W13" s="1632">
        <v>2863</v>
      </c>
      <c r="X13" s="1633" t="s">
        <v>2197</v>
      </c>
      <c r="Y13" s="631"/>
      <c r="AA13" s="819" t="s">
        <v>307</v>
      </c>
      <c r="AB13" s="868">
        <v>60.67</v>
      </c>
      <c r="AC13" s="872">
        <v>128.56</v>
      </c>
      <c r="AD13" s="872">
        <v>16751978.699999999</v>
      </c>
      <c r="AE13" s="869">
        <v>44256</v>
      </c>
      <c r="AF13" s="869">
        <v>44277</v>
      </c>
      <c r="AG13" s="817">
        <v>0</v>
      </c>
      <c r="AH13" s="631"/>
      <c r="AI13" s="741">
        <v>41472</v>
      </c>
      <c r="AJ13" s="741">
        <v>42410</v>
      </c>
      <c r="AK13" s="741" t="s">
        <v>289</v>
      </c>
      <c r="AL13" s="741"/>
      <c r="AM13" s="741"/>
      <c r="AN13" s="1629"/>
      <c r="AO13" s="235"/>
      <c r="AP13" s="17"/>
      <c r="AR13" s="821" t="s">
        <v>186</v>
      </c>
      <c r="AS13" s="235"/>
      <c r="AT13" s="235"/>
      <c r="AX13" s="235"/>
    </row>
    <row r="14" spans="1:50" s="9" customFormat="1" ht="31.5" hidden="1">
      <c r="A14" s="631" t="s">
        <v>308</v>
      </c>
      <c r="B14" s="631" t="s">
        <v>309</v>
      </c>
      <c r="C14" s="631">
        <v>5382</v>
      </c>
      <c r="D14" s="631" t="s">
        <v>310</v>
      </c>
      <c r="E14" s="631" t="s">
        <v>282</v>
      </c>
      <c r="F14" s="631" t="s">
        <v>311</v>
      </c>
      <c r="G14" s="631" t="s">
        <v>284</v>
      </c>
      <c r="H14" s="631">
        <v>3.7699999999999997E-2</v>
      </c>
      <c r="I14" s="631" t="s">
        <v>312</v>
      </c>
      <c r="J14" s="631">
        <v>148</v>
      </c>
      <c r="K14" s="631"/>
      <c r="L14" s="631"/>
      <c r="M14" s="814">
        <v>0</v>
      </c>
      <c r="N14" s="1627"/>
      <c r="O14" s="1627" t="str">
        <f t="shared" si="9"/>
        <v>ReH 2.995/2021</v>
      </c>
      <c r="P14" s="814">
        <v>8.9499999999999996E-2</v>
      </c>
      <c r="Q14" s="1628">
        <v>8419443.0538159572</v>
      </c>
      <c r="R14" s="1630">
        <v>44531</v>
      </c>
      <c r="S14" s="1627" t="str">
        <f t="shared" si="10"/>
        <v>Desp. 521/2022</v>
      </c>
      <c r="T14" s="631" t="s">
        <v>313</v>
      </c>
      <c r="U14" s="741" t="s">
        <v>295</v>
      </c>
      <c r="V14" s="1631">
        <v>2024</v>
      </c>
      <c r="W14" s="1632">
        <v>2910</v>
      </c>
      <c r="X14" s="1633" t="s">
        <v>2196</v>
      </c>
      <c r="Y14" s="818">
        <v>1.15E-2</v>
      </c>
      <c r="Z14" s="819">
        <v>0</v>
      </c>
      <c r="AA14" s="819" t="s">
        <v>312</v>
      </c>
      <c r="AB14" s="817">
        <v>33.24</v>
      </c>
      <c r="AC14" s="822">
        <v>986.44</v>
      </c>
      <c r="AD14" s="822">
        <v>2124774.87</v>
      </c>
      <c r="AE14" s="741">
        <v>43647</v>
      </c>
      <c r="AF14" s="741">
        <v>43647</v>
      </c>
      <c r="AG14" s="817">
        <v>0</v>
      </c>
      <c r="AH14" s="631"/>
      <c r="AI14" s="741">
        <v>41472</v>
      </c>
      <c r="AJ14" s="741">
        <v>42562</v>
      </c>
      <c r="AK14" s="741" t="s">
        <v>289</v>
      </c>
      <c r="AL14" s="741"/>
      <c r="AM14" s="741"/>
      <c r="AN14" s="1629"/>
      <c r="AO14" s="235"/>
      <c r="AP14" s="17"/>
      <c r="AR14" s="821" t="s">
        <v>314</v>
      </c>
      <c r="AS14" s="235"/>
      <c r="AT14" s="235"/>
      <c r="AX14" s="235"/>
    </row>
    <row r="15" spans="1:50" s="9" customFormat="1" ht="31.5" hidden="1">
      <c r="A15" s="631" t="s">
        <v>315</v>
      </c>
      <c r="B15" s="631" t="s">
        <v>316</v>
      </c>
      <c r="C15" s="631">
        <v>6610</v>
      </c>
      <c r="D15" s="631" t="s">
        <v>317</v>
      </c>
      <c r="E15" s="631" t="s">
        <v>282</v>
      </c>
      <c r="F15" s="631" t="s">
        <v>318</v>
      </c>
      <c r="G15" s="631" t="s">
        <v>284</v>
      </c>
      <c r="H15" s="631">
        <v>9.9699999999999997E-2</v>
      </c>
      <c r="I15" s="631" t="s">
        <v>285</v>
      </c>
      <c r="J15" s="631">
        <v>104</v>
      </c>
      <c r="K15" s="631"/>
      <c r="L15" s="631"/>
      <c r="M15" s="814">
        <v>0</v>
      </c>
      <c r="N15" s="1627"/>
      <c r="O15" s="1627" t="str">
        <f t="shared" si="9"/>
        <v>ReH 2.995/2021</v>
      </c>
      <c r="P15" s="814">
        <v>0.14800000000000002</v>
      </c>
      <c r="Q15" s="1628">
        <v>5024282.8201926984</v>
      </c>
      <c r="R15" s="1630">
        <v>44531</v>
      </c>
      <c r="S15" s="1627" t="str">
        <f t="shared" si="10"/>
        <v>Desp. 521/2022</v>
      </c>
      <c r="T15" s="631" t="s">
        <v>319</v>
      </c>
      <c r="U15" s="741" t="s">
        <v>287</v>
      </c>
      <c r="V15" s="1631">
        <v>2024</v>
      </c>
      <c r="W15" s="1632">
        <v>2978</v>
      </c>
      <c r="X15" s="1633" t="s">
        <v>2194</v>
      </c>
      <c r="Y15" s="631"/>
      <c r="AA15" s="819" t="s">
        <v>288</v>
      </c>
      <c r="AB15" s="817">
        <v>98.54</v>
      </c>
      <c r="AC15" s="822">
        <v>492.16</v>
      </c>
      <c r="AD15" s="822">
        <v>607256.85</v>
      </c>
      <c r="AE15" s="741">
        <v>43739</v>
      </c>
      <c r="AF15" s="741">
        <v>43739</v>
      </c>
      <c r="AG15" s="817">
        <v>0</v>
      </c>
      <c r="AH15" s="631"/>
      <c r="AI15" s="741">
        <v>41472</v>
      </c>
      <c r="AJ15" s="741">
        <v>42673</v>
      </c>
      <c r="AK15" s="741" t="s">
        <v>289</v>
      </c>
      <c r="AL15" s="741"/>
      <c r="AM15" s="741"/>
      <c r="AN15" s="1629"/>
      <c r="AO15" s="235"/>
      <c r="AP15" s="17"/>
      <c r="AR15" s="821" t="s">
        <v>320</v>
      </c>
      <c r="AS15" s="235"/>
      <c r="AT15" s="235"/>
      <c r="AX15" s="235"/>
    </row>
    <row r="16" spans="1:50" s="9" customFormat="1" ht="31.5" hidden="1">
      <c r="A16" s="631" t="s">
        <v>321</v>
      </c>
      <c r="B16" s="631" t="s">
        <v>322</v>
      </c>
      <c r="C16" s="631">
        <v>6609</v>
      </c>
      <c r="D16" s="631" t="s">
        <v>323</v>
      </c>
      <c r="E16" s="631" t="s">
        <v>282</v>
      </c>
      <c r="F16" s="631" t="s">
        <v>324</v>
      </c>
      <c r="G16" s="631" t="s">
        <v>284</v>
      </c>
      <c r="H16" s="631">
        <v>3.7699999999999997E-2</v>
      </c>
      <c r="I16" s="631" t="s">
        <v>125</v>
      </c>
      <c r="J16" s="631">
        <v>165</v>
      </c>
      <c r="K16" s="631"/>
      <c r="L16" s="631"/>
      <c r="M16" s="814">
        <v>0</v>
      </c>
      <c r="N16" s="1627"/>
      <c r="O16" s="1627" t="str">
        <f t="shared" si="9"/>
        <v>ReH 2.995/2021</v>
      </c>
      <c r="P16" s="814">
        <v>0.1585</v>
      </c>
      <c r="Q16" s="1627">
        <v>13523024.849047249</v>
      </c>
      <c r="R16" s="1630">
        <v>44531</v>
      </c>
      <c r="S16" s="1627" t="str">
        <f t="shared" si="10"/>
        <v>Desp. 521/2022</v>
      </c>
      <c r="T16" s="631" t="s">
        <v>325</v>
      </c>
      <c r="U16" s="741" t="s">
        <v>326</v>
      </c>
      <c r="V16" s="1631">
        <v>2024</v>
      </c>
      <c r="W16" s="1632">
        <v>2903</v>
      </c>
      <c r="X16" s="1633" t="s">
        <v>2196</v>
      </c>
      <c r="Y16" s="818">
        <v>1.15E-2</v>
      </c>
      <c r="Z16" s="489">
        <v>0</v>
      </c>
      <c r="AA16" s="489" t="s">
        <v>125</v>
      </c>
      <c r="AB16" s="817">
        <v>23.817216620837154</v>
      </c>
      <c r="AC16" s="822">
        <v>102.39004092957872</v>
      </c>
      <c r="AD16" s="822">
        <v>8424461.6320540309</v>
      </c>
      <c r="AE16" s="741">
        <v>44389</v>
      </c>
      <c r="AF16" s="741">
        <v>44389</v>
      </c>
      <c r="AG16" s="817">
        <v>0</v>
      </c>
      <c r="AH16" s="631"/>
      <c r="AI16" s="741">
        <v>41472</v>
      </c>
      <c r="AJ16" s="741">
        <v>42507</v>
      </c>
      <c r="AK16" s="741" t="s">
        <v>289</v>
      </c>
      <c r="AL16" s="741"/>
      <c r="AM16" s="741"/>
      <c r="AN16" s="1629"/>
      <c r="AO16" s="235"/>
      <c r="AP16" s="17"/>
      <c r="AR16" s="821" t="s">
        <v>327</v>
      </c>
      <c r="AS16" s="235"/>
      <c r="AT16" s="235"/>
      <c r="AX16" s="235"/>
    </row>
    <row r="17" spans="1:50" s="9" customFormat="1" ht="31.5" hidden="1">
      <c r="A17" s="631" t="s">
        <v>328</v>
      </c>
      <c r="B17" s="631" t="s">
        <v>329</v>
      </c>
      <c r="C17" s="631">
        <v>5384</v>
      </c>
      <c r="D17" s="631" t="s">
        <v>330</v>
      </c>
      <c r="E17" s="631" t="s">
        <v>282</v>
      </c>
      <c r="F17" s="631" t="s">
        <v>331</v>
      </c>
      <c r="G17" s="631" t="s">
        <v>284</v>
      </c>
      <c r="H17" s="631">
        <v>9.9699999999999997E-2</v>
      </c>
      <c r="I17" s="631" t="s">
        <v>150</v>
      </c>
      <c r="J17" s="631">
        <v>136</v>
      </c>
      <c r="K17" s="631"/>
      <c r="L17" s="631"/>
      <c r="M17" s="814">
        <v>0</v>
      </c>
      <c r="N17" s="1627"/>
      <c r="O17" s="1627" t="str">
        <f t="shared" si="9"/>
        <v>ReH 2.995/2021</v>
      </c>
      <c r="P17" s="814">
        <v>0.36620000000000003</v>
      </c>
      <c r="Q17" s="1627">
        <v>10580562.183376934</v>
      </c>
      <c r="R17" s="1630">
        <v>44531</v>
      </c>
      <c r="S17" s="1627" t="str">
        <f t="shared" si="10"/>
        <v>Desp. 521/2022</v>
      </c>
      <c r="T17" s="631" t="s">
        <v>332</v>
      </c>
      <c r="U17" s="741" t="s">
        <v>295</v>
      </c>
      <c r="V17" s="1631">
        <v>2024</v>
      </c>
      <c r="W17" s="1632">
        <v>2873</v>
      </c>
      <c r="X17" s="1633" t="s">
        <v>2195</v>
      </c>
      <c r="Y17" s="631"/>
      <c r="AA17" s="819" t="s">
        <v>150</v>
      </c>
      <c r="AB17" s="817">
        <v>90.43</v>
      </c>
      <c r="AC17" s="822">
        <v>237.88</v>
      </c>
      <c r="AD17" s="822">
        <v>1254128.21</v>
      </c>
      <c r="AE17" s="741">
        <v>43198</v>
      </c>
      <c r="AF17" s="741">
        <v>43198</v>
      </c>
      <c r="AG17" s="817">
        <v>0</v>
      </c>
      <c r="AH17" s="631"/>
      <c r="AI17" s="741">
        <v>41472</v>
      </c>
      <c r="AJ17" s="741">
        <v>42475</v>
      </c>
      <c r="AK17" s="741" t="s">
        <v>289</v>
      </c>
      <c r="AL17" s="741"/>
      <c r="AM17" s="741"/>
      <c r="AN17" s="1629"/>
      <c r="AO17" s="235"/>
      <c r="AP17" s="17"/>
      <c r="AR17" s="821" t="s">
        <v>9</v>
      </c>
      <c r="AS17" s="235"/>
      <c r="AT17" s="235"/>
      <c r="AX17" s="235"/>
    </row>
    <row r="18" spans="1:50" s="9" customFormat="1" ht="31.5" hidden="1">
      <c r="A18" s="631" t="s">
        <v>333</v>
      </c>
      <c r="B18" s="631" t="s">
        <v>334</v>
      </c>
      <c r="C18" s="631">
        <v>5385</v>
      </c>
      <c r="D18" s="631" t="s">
        <v>335</v>
      </c>
      <c r="E18" s="631" t="s">
        <v>282</v>
      </c>
      <c r="F18" s="631" t="s">
        <v>336</v>
      </c>
      <c r="G18" s="631" t="s">
        <v>284</v>
      </c>
      <c r="H18" s="631">
        <v>3.7699999999999997E-2</v>
      </c>
      <c r="I18" s="631" t="s">
        <v>150</v>
      </c>
      <c r="J18" s="631">
        <v>136</v>
      </c>
      <c r="K18" s="631" t="s">
        <v>125</v>
      </c>
      <c r="L18" s="631">
        <v>165</v>
      </c>
      <c r="M18" s="814">
        <v>0</v>
      </c>
      <c r="N18" s="1627"/>
      <c r="O18" s="1627" t="str">
        <f t="shared" si="9"/>
        <v>ReH 2.995/2021</v>
      </c>
      <c r="P18" s="814">
        <v>0.18079999999999999</v>
      </c>
      <c r="Q18" s="1627">
        <v>19362081.83872563</v>
      </c>
      <c r="R18" s="1630">
        <v>44531</v>
      </c>
      <c r="S18" s="1627" t="str">
        <f t="shared" si="10"/>
        <v>Desp. 521/2022</v>
      </c>
      <c r="T18" s="631" t="s">
        <v>337</v>
      </c>
      <c r="U18" s="741" t="s">
        <v>326</v>
      </c>
      <c r="V18" s="1631">
        <v>2024</v>
      </c>
      <c r="W18" s="1632">
        <v>2874</v>
      </c>
      <c r="X18" s="1633" t="s">
        <v>2195</v>
      </c>
      <c r="Y18" s="818">
        <v>1.15E-2</v>
      </c>
      <c r="Z18" s="489">
        <v>-7.9000000000000008E-3</v>
      </c>
      <c r="AA18" s="489" t="s">
        <v>150</v>
      </c>
      <c r="AB18" s="817">
        <v>70.27</v>
      </c>
      <c r="AC18" s="822">
        <v>237.88</v>
      </c>
      <c r="AD18" s="822">
        <v>3687472.37</v>
      </c>
      <c r="AE18" s="741">
        <v>43198</v>
      </c>
      <c r="AF18" s="741">
        <v>43198</v>
      </c>
      <c r="AG18" s="817">
        <v>0</v>
      </c>
      <c r="AH18" s="631"/>
      <c r="AI18" s="741">
        <v>41472</v>
      </c>
      <c r="AJ18" s="741">
        <v>42475</v>
      </c>
      <c r="AK18" s="741" t="s">
        <v>289</v>
      </c>
      <c r="AL18" s="741"/>
      <c r="AM18" s="741"/>
      <c r="AN18" s="1629"/>
      <c r="AO18" s="235"/>
      <c r="AP18" s="17"/>
      <c r="AR18" s="821" t="s">
        <v>338</v>
      </c>
      <c r="AS18" s="235"/>
      <c r="AT18" s="235"/>
      <c r="AX18" s="235"/>
    </row>
    <row r="19" spans="1:50" s="9" customFormat="1" ht="31.5" hidden="1">
      <c r="A19" s="631" t="s">
        <v>339</v>
      </c>
      <c r="B19" s="631" t="s">
        <v>340</v>
      </c>
      <c r="C19" s="631">
        <v>5379</v>
      </c>
      <c r="D19" s="631" t="s">
        <v>341</v>
      </c>
      <c r="E19" s="631" t="s">
        <v>282</v>
      </c>
      <c r="F19" s="631" t="s">
        <v>342</v>
      </c>
      <c r="G19" s="631" t="s">
        <v>284</v>
      </c>
      <c r="H19" s="631">
        <v>3.7699999999999997E-2</v>
      </c>
      <c r="I19" s="631" t="s">
        <v>178</v>
      </c>
      <c r="J19" s="631">
        <v>135</v>
      </c>
      <c r="K19" s="631" t="s">
        <v>164</v>
      </c>
      <c r="L19" s="631">
        <v>145</v>
      </c>
      <c r="M19" s="814">
        <v>0</v>
      </c>
      <c r="N19" s="1627"/>
      <c r="O19" s="1627" t="str">
        <f t="shared" si="9"/>
        <v>ReH 2.995/2021</v>
      </c>
      <c r="P19" s="814">
        <v>0.1321</v>
      </c>
      <c r="Q19" s="1627">
        <v>39394175.109390005</v>
      </c>
      <c r="R19" s="1630">
        <v>44531</v>
      </c>
      <c r="S19" s="1627" t="str">
        <f t="shared" si="10"/>
        <v>Desp. 521/2022</v>
      </c>
      <c r="T19" s="631" t="s">
        <v>343</v>
      </c>
      <c r="U19" s="741" t="s">
        <v>295</v>
      </c>
      <c r="V19" s="1631">
        <v>2024</v>
      </c>
      <c r="W19" s="1632">
        <v>2975</v>
      </c>
      <c r="X19" s="1633" t="s">
        <v>2194</v>
      </c>
      <c r="Y19" s="818">
        <v>1.15E-2</v>
      </c>
      <c r="Z19" s="489">
        <v>0</v>
      </c>
      <c r="AA19" s="819" t="s">
        <v>301</v>
      </c>
      <c r="AB19" s="823">
        <v>39.53</v>
      </c>
      <c r="AC19" s="822">
        <v>532.64</v>
      </c>
      <c r="AD19" s="822">
        <v>12412486.630000001</v>
      </c>
      <c r="AE19" s="741">
        <v>43739</v>
      </c>
      <c r="AF19" s="741">
        <v>43739</v>
      </c>
      <c r="AG19" s="817">
        <v>0</v>
      </c>
      <c r="AH19" s="631"/>
      <c r="AI19" s="741">
        <v>41472</v>
      </c>
      <c r="AJ19" s="741">
        <v>42673</v>
      </c>
      <c r="AK19" s="741" t="s">
        <v>289</v>
      </c>
      <c r="AL19" s="741"/>
      <c r="AM19" s="741"/>
      <c r="AN19" s="1629"/>
      <c r="AO19" s="235"/>
      <c r="AP19" s="17"/>
      <c r="AR19" s="821" t="s">
        <v>184</v>
      </c>
      <c r="AS19" s="235"/>
      <c r="AT19" s="235"/>
      <c r="AX19" s="235"/>
    </row>
    <row r="20" spans="1:50" s="9" customFormat="1" ht="31.5" hidden="1">
      <c r="A20" s="631" t="s">
        <v>314</v>
      </c>
      <c r="B20" s="631" t="s">
        <v>344</v>
      </c>
      <c r="C20" s="631">
        <v>5372</v>
      </c>
      <c r="D20" s="631" t="s">
        <v>345</v>
      </c>
      <c r="E20" s="631" t="s">
        <v>282</v>
      </c>
      <c r="F20" s="631" t="s">
        <v>346</v>
      </c>
      <c r="G20" s="631" t="s">
        <v>347</v>
      </c>
      <c r="H20" s="631">
        <v>9.9699999999999997E-2</v>
      </c>
      <c r="I20" s="631" t="s">
        <v>189</v>
      </c>
      <c r="J20" s="631">
        <v>111</v>
      </c>
      <c r="K20" s="631"/>
      <c r="L20" s="631"/>
      <c r="M20" s="814">
        <v>0</v>
      </c>
      <c r="N20" s="1627"/>
      <c r="O20" s="1627" t="str">
        <f t="shared" si="9"/>
        <v>ReH 2.995/2021</v>
      </c>
      <c r="P20" s="814">
        <v>0.1079</v>
      </c>
      <c r="Q20" s="1628">
        <v>9742223.1963606756</v>
      </c>
      <c r="R20" s="1630">
        <v>44531</v>
      </c>
      <c r="S20" s="1627" t="str">
        <f t="shared" si="10"/>
        <v>Desp. 521/2022</v>
      </c>
      <c r="T20" s="631" t="s">
        <v>348</v>
      </c>
      <c r="U20" s="741" t="s">
        <v>349</v>
      </c>
      <c r="V20" s="1631">
        <v>2024</v>
      </c>
      <c r="W20" s="1632">
        <v>2946</v>
      </c>
      <c r="X20" s="1633" t="s">
        <v>2198</v>
      </c>
      <c r="Y20" s="631"/>
      <c r="AA20" s="819" t="s">
        <v>189</v>
      </c>
      <c r="AB20" s="817">
        <v>59.846956156846908</v>
      </c>
      <c r="AC20" s="822">
        <v>180.36</v>
      </c>
      <c r="AD20" s="822">
        <v>3290792.2979728933</v>
      </c>
      <c r="AE20" s="741">
        <v>44430</v>
      </c>
      <c r="AF20" s="741">
        <v>44430</v>
      </c>
      <c r="AG20" s="817">
        <v>0</v>
      </c>
      <c r="AH20" s="631"/>
      <c r="AI20" s="741">
        <v>41472</v>
      </c>
      <c r="AJ20" s="741">
        <v>42641</v>
      </c>
      <c r="AK20" s="741" t="s">
        <v>289</v>
      </c>
      <c r="AL20" s="741"/>
      <c r="AM20" s="741"/>
      <c r="AN20" s="1629"/>
      <c r="AO20" s="235"/>
      <c r="AP20" s="17"/>
      <c r="AR20" s="821" t="s">
        <v>196</v>
      </c>
      <c r="AS20" s="235"/>
      <c r="AT20" s="235"/>
      <c r="AX20" s="235"/>
    </row>
    <row r="21" spans="1:50" s="9" customFormat="1" ht="31.5" hidden="1">
      <c r="A21" s="631" t="s">
        <v>9</v>
      </c>
      <c r="B21" s="631" t="s">
        <v>350</v>
      </c>
      <c r="C21" s="631">
        <v>5367</v>
      </c>
      <c r="D21" s="631" t="s">
        <v>351</v>
      </c>
      <c r="E21" s="631" t="s">
        <v>282</v>
      </c>
      <c r="F21" s="631" t="s">
        <v>352</v>
      </c>
      <c r="G21" s="631" t="s">
        <v>347</v>
      </c>
      <c r="H21" s="631">
        <v>9.9699999999999997E-2</v>
      </c>
      <c r="I21" s="631" t="s">
        <v>189</v>
      </c>
      <c r="J21" s="631">
        <v>111</v>
      </c>
      <c r="K21" s="631" t="s">
        <v>353</v>
      </c>
      <c r="L21" s="631">
        <v>110</v>
      </c>
      <c r="M21" s="814">
        <v>0</v>
      </c>
      <c r="N21" s="1627"/>
      <c r="O21" s="1627" t="str">
        <f t="shared" si="9"/>
        <v>ReH 2.995/2021</v>
      </c>
      <c r="P21" s="814">
        <v>8.7999999999999995E-2</v>
      </c>
      <c r="Q21" s="1627">
        <v>28257854.842311971</v>
      </c>
      <c r="R21" s="1630">
        <v>44531</v>
      </c>
      <c r="S21" s="1627" t="str">
        <f t="shared" si="10"/>
        <v>Desp. 521/2022</v>
      </c>
      <c r="T21" s="631" t="s">
        <v>354</v>
      </c>
      <c r="U21" s="741" t="s">
        <v>355</v>
      </c>
      <c r="V21" s="1631">
        <v>2025</v>
      </c>
      <c r="W21" s="1632">
        <v>3000</v>
      </c>
      <c r="X21" s="1633" t="s">
        <v>2193</v>
      </c>
      <c r="Y21" s="631"/>
      <c r="AA21" s="819" t="s">
        <v>189</v>
      </c>
      <c r="AB21" s="817">
        <v>46.284812313198138</v>
      </c>
      <c r="AC21" s="822">
        <v>180.36</v>
      </c>
      <c r="AD21" s="822">
        <v>11703468.880194727</v>
      </c>
      <c r="AE21" s="741">
        <v>44430</v>
      </c>
      <c r="AF21" s="741">
        <v>44430</v>
      </c>
      <c r="AG21" s="817">
        <v>0</v>
      </c>
      <c r="AH21" s="631"/>
      <c r="AI21" s="741">
        <v>41365</v>
      </c>
      <c r="AJ21" s="741">
        <v>42641</v>
      </c>
      <c r="AK21" s="741" t="s">
        <v>289</v>
      </c>
      <c r="AL21" s="741"/>
      <c r="AM21" s="741"/>
      <c r="AN21" s="1629"/>
      <c r="AO21" s="235"/>
      <c r="AP21" s="17"/>
      <c r="AR21" s="821" t="s">
        <v>356</v>
      </c>
      <c r="AS21" s="235"/>
      <c r="AT21" s="235"/>
      <c r="AX21" s="235"/>
    </row>
    <row r="22" spans="1:50" s="9" customFormat="1" ht="31.5" hidden="1">
      <c r="A22" s="631" t="s">
        <v>338</v>
      </c>
      <c r="B22" s="631" t="s">
        <v>357</v>
      </c>
      <c r="C22" s="631">
        <v>6897</v>
      </c>
      <c r="D22" s="631" t="s">
        <v>358</v>
      </c>
      <c r="E22" s="631" t="s">
        <v>282</v>
      </c>
      <c r="F22" s="631" t="s">
        <v>359</v>
      </c>
      <c r="G22" s="631" t="s">
        <v>347</v>
      </c>
      <c r="H22" s="631">
        <v>9.9699999999999997E-2</v>
      </c>
      <c r="I22" s="631" t="s">
        <v>189</v>
      </c>
      <c r="J22" s="631">
        <v>111</v>
      </c>
      <c r="K22" s="631"/>
      <c r="L22" s="631"/>
      <c r="M22" s="814">
        <v>0</v>
      </c>
      <c r="N22" s="1627"/>
      <c r="O22" s="1627" t="str">
        <f t="shared" si="9"/>
        <v>ReH 2.995/2021</v>
      </c>
      <c r="P22" s="814">
        <v>0.11210000000000001</v>
      </c>
      <c r="Q22" s="1627">
        <v>25814070.878469311</v>
      </c>
      <c r="R22" s="1630">
        <v>44531</v>
      </c>
      <c r="S22" s="1627" t="str">
        <f t="shared" si="10"/>
        <v>Desp. 521/2022</v>
      </c>
      <c r="T22" s="631" t="s">
        <v>360</v>
      </c>
      <c r="U22" s="741" t="s">
        <v>349</v>
      </c>
      <c r="V22" s="1631">
        <v>2024</v>
      </c>
      <c r="W22" s="1632">
        <v>2939</v>
      </c>
      <c r="X22" s="1633" t="s">
        <v>2198</v>
      </c>
      <c r="Y22" s="631"/>
      <c r="AA22" s="819" t="s">
        <v>189</v>
      </c>
      <c r="AB22" s="817">
        <v>48.427014093503388</v>
      </c>
      <c r="AC22" s="822">
        <v>180.36</v>
      </c>
      <c r="AD22" s="822">
        <v>10692706.342225492</v>
      </c>
      <c r="AE22" s="741">
        <v>44430</v>
      </c>
      <c r="AF22" s="741">
        <v>44430</v>
      </c>
      <c r="AG22" s="817">
        <v>0</v>
      </c>
      <c r="AH22" s="631"/>
      <c r="AI22" s="741">
        <v>41472</v>
      </c>
      <c r="AJ22" s="741">
        <v>42641</v>
      </c>
      <c r="AK22" s="741" t="s">
        <v>289</v>
      </c>
      <c r="AL22" s="741"/>
      <c r="AM22" s="741"/>
      <c r="AN22" s="1629"/>
      <c r="AO22" s="235"/>
      <c r="AP22" s="17"/>
      <c r="AR22" s="821" t="s">
        <v>361</v>
      </c>
      <c r="AS22" s="235"/>
      <c r="AT22" s="235"/>
      <c r="AX22" s="235"/>
    </row>
    <row r="23" spans="1:50" s="9" customFormat="1" ht="31.5" hidden="1">
      <c r="A23" s="631" t="s">
        <v>184</v>
      </c>
      <c r="B23" s="631" t="s">
        <v>362</v>
      </c>
      <c r="C23" s="631">
        <v>5351</v>
      </c>
      <c r="D23" s="631" t="s">
        <v>363</v>
      </c>
      <c r="E23" s="631" t="s">
        <v>282</v>
      </c>
      <c r="F23" s="631" t="s">
        <v>364</v>
      </c>
      <c r="G23" s="631" t="s">
        <v>347</v>
      </c>
      <c r="H23" s="631">
        <v>9.9699999999999997E-2</v>
      </c>
      <c r="I23" s="631" t="s">
        <v>361</v>
      </c>
      <c r="J23" s="631">
        <v>220</v>
      </c>
      <c r="K23" s="631"/>
      <c r="L23" s="631"/>
      <c r="M23" s="814">
        <v>0</v>
      </c>
      <c r="N23" s="1627"/>
      <c r="O23" s="1627" t="str">
        <f t="shared" si="9"/>
        <v>ReH 2.995/2021</v>
      </c>
      <c r="P23" s="814">
        <v>5.1200000000000002E-2</v>
      </c>
      <c r="Q23" s="1627">
        <v>6592780.5451776758</v>
      </c>
      <c r="R23" s="1630">
        <v>44531</v>
      </c>
      <c r="S23" s="1627" t="str">
        <f t="shared" si="10"/>
        <v>Desp. 521/2022</v>
      </c>
      <c r="T23" s="631" t="s">
        <v>365</v>
      </c>
      <c r="U23" s="741" t="s">
        <v>349</v>
      </c>
      <c r="V23" s="1631">
        <v>2024</v>
      </c>
      <c r="W23" s="1632">
        <v>2976</v>
      </c>
      <c r="X23" s="1633" t="s">
        <v>2194</v>
      </c>
      <c r="Y23" s="631"/>
      <c r="AA23" s="819" t="s">
        <v>189</v>
      </c>
      <c r="AB23" s="817">
        <v>16.172212694965044</v>
      </c>
      <c r="AC23" s="822">
        <v>180.36</v>
      </c>
      <c r="AD23" s="822">
        <v>3766690.3356666476</v>
      </c>
      <c r="AE23" s="741">
        <v>44430</v>
      </c>
      <c r="AF23" s="741">
        <v>44430</v>
      </c>
      <c r="AG23" s="817">
        <v>0</v>
      </c>
      <c r="AH23" s="631"/>
      <c r="AI23" s="741">
        <v>41472</v>
      </c>
      <c r="AJ23" s="741">
        <v>42641</v>
      </c>
      <c r="AK23" s="741" t="s">
        <v>289</v>
      </c>
      <c r="AL23" s="741"/>
      <c r="AM23" s="741"/>
      <c r="AN23" s="1629">
        <v>415113.21</v>
      </c>
      <c r="AO23" s="235"/>
      <c r="AP23" s="17"/>
      <c r="AR23" s="821" t="s">
        <v>366</v>
      </c>
      <c r="AS23" s="235"/>
      <c r="AT23" s="235"/>
      <c r="AX23" s="235"/>
    </row>
    <row r="24" spans="1:50" s="9" customFormat="1" ht="31.5" hidden="1">
      <c r="A24" s="631" t="s">
        <v>361</v>
      </c>
      <c r="B24" s="631" t="s">
        <v>367</v>
      </c>
      <c r="C24" s="631">
        <v>6898</v>
      </c>
      <c r="D24" s="631" t="s">
        <v>368</v>
      </c>
      <c r="E24" s="631" t="s">
        <v>282</v>
      </c>
      <c r="F24" s="631" t="s">
        <v>369</v>
      </c>
      <c r="G24" s="631" t="s">
        <v>347</v>
      </c>
      <c r="H24" s="631">
        <v>9.9699999999999997E-2</v>
      </c>
      <c r="I24" s="631" t="s">
        <v>189</v>
      </c>
      <c r="J24" s="631">
        <v>111</v>
      </c>
      <c r="K24" s="631"/>
      <c r="L24" s="631"/>
      <c r="M24" s="814">
        <v>0</v>
      </c>
      <c r="N24" s="1627"/>
      <c r="O24" s="1627" t="str">
        <f t="shared" si="9"/>
        <v>ReH 2.995/2021</v>
      </c>
      <c r="P24" s="814">
        <v>7.1800000000000003E-2</v>
      </c>
      <c r="Q24" s="1627">
        <v>32515799.777980469</v>
      </c>
      <c r="R24" s="1630">
        <v>44531</v>
      </c>
      <c r="S24" s="1627" t="str">
        <f t="shared" si="10"/>
        <v>Desp. 521/2022</v>
      </c>
      <c r="T24" s="631" t="s">
        <v>370</v>
      </c>
      <c r="U24" s="741" t="s">
        <v>349</v>
      </c>
      <c r="V24" s="1631">
        <v>2024</v>
      </c>
      <c r="W24" s="1632">
        <v>2949</v>
      </c>
      <c r="X24" s="1633" t="s">
        <v>2198</v>
      </c>
      <c r="Y24" s="631"/>
      <c r="AA24" s="819" t="s">
        <v>189</v>
      </c>
      <c r="AB24" s="817">
        <v>77.349128723029523</v>
      </c>
      <c r="AC24" s="822">
        <v>180.36</v>
      </c>
      <c r="AD24" s="822">
        <v>9354913.9292200413</v>
      </c>
      <c r="AE24" s="741">
        <v>44430</v>
      </c>
      <c r="AF24" s="741">
        <v>44430</v>
      </c>
      <c r="AG24" s="817">
        <v>0</v>
      </c>
      <c r="AH24" s="631"/>
      <c r="AI24" s="741">
        <v>41472</v>
      </c>
      <c r="AJ24" s="741">
        <v>42641</v>
      </c>
      <c r="AK24" s="741" t="s">
        <v>289</v>
      </c>
      <c r="AL24" s="741"/>
      <c r="AM24" s="741"/>
      <c r="AN24" s="1629"/>
      <c r="AO24" s="235"/>
      <c r="AP24" s="17"/>
      <c r="AR24" s="821" t="s">
        <v>371</v>
      </c>
      <c r="AS24" s="235"/>
      <c r="AT24" s="235"/>
      <c r="AX24" s="235"/>
    </row>
    <row r="25" spans="1:50" s="9" customFormat="1" ht="31.5" hidden="1">
      <c r="A25" s="631" t="s">
        <v>372</v>
      </c>
      <c r="B25" s="631" t="s">
        <v>373</v>
      </c>
      <c r="C25" s="631">
        <v>5352</v>
      </c>
      <c r="D25" s="631" t="s">
        <v>374</v>
      </c>
      <c r="E25" s="631" t="s">
        <v>282</v>
      </c>
      <c r="F25" s="631" t="s">
        <v>375</v>
      </c>
      <c r="G25" s="631" t="s">
        <v>347</v>
      </c>
      <c r="H25" s="631">
        <v>9.9699999999999997E-2</v>
      </c>
      <c r="I25" s="631" t="s">
        <v>189</v>
      </c>
      <c r="J25" s="631">
        <v>111</v>
      </c>
      <c r="K25" s="631"/>
      <c r="L25" s="631"/>
      <c r="M25" s="814">
        <v>0</v>
      </c>
      <c r="N25" s="1627"/>
      <c r="O25" s="1627" t="str">
        <f t="shared" si="9"/>
        <v>ReH 2.995/2021</v>
      </c>
      <c r="P25" s="814">
        <v>8.72E-2</v>
      </c>
      <c r="Q25" s="1627">
        <v>27692113.474028908</v>
      </c>
      <c r="R25" s="1630">
        <v>44531</v>
      </c>
      <c r="S25" s="1627" t="str">
        <f t="shared" si="10"/>
        <v>Desp. 521/2022</v>
      </c>
      <c r="T25" s="631" t="s">
        <v>376</v>
      </c>
      <c r="U25" s="741" t="s">
        <v>377</v>
      </c>
      <c r="V25" s="1631">
        <v>2024</v>
      </c>
      <c r="W25" s="1632">
        <v>2940</v>
      </c>
      <c r="X25" s="1633" t="s">
        <v>2198</v>
      </c>
      <c r="Y25" s="631"/>
      <c r="AA25" s="819" t="s">
        <v>189</v>
      </c>
      <c r="AB25" s="817">
        <v>22.580552842543515</v>
      </c>
      <c r="AC25" s="822">
        <v>180.36</v>
      </c>
      <c r="AD25" s="822">
        <v>16232843.86472071</v>
      </c>
      <c r="AE25" s="741">
        <v>44430</v>
      </c>
      <c r="AF25" s="741">
        <v>44430</v>
      </c>
      <c r="AG25" s="817">
        <v>0</v>
      </c>
      <c r="AH25" s="631"/>
      <c r="AI25" s="741">
        <v>41472</v>
      </c>
      <c r="AJ25" s="741">
        <v>42641</v>
      </c>
      <c r="AK25" s="741" t="s">
        <v>289</v>
      </c>
      <c r="AL25" s="741"/>
      <c r="AM25" s="741"/>
      <c r="AN25" s="1629"/>
      <c r="AO25" s="235"/>
      <c r="AP25" s="17"/>
      <c r="AR25" s="821" t="s">
        <v>372</v>
      </c>
      <c r="AS25" s="235"/>
      <c r="AT25" s="235"/>
      <c r="AX25" s="235"/>
    </row>
    <row r="26" spans="1:50" s="9" customFormat="1" ht="31.5" hidden="1">
      <c r="A26" s="631" t="s">
        <v>185</v>
      </c>
      <c r="B26" s="631" t="s">
        <v>378</v>
      </c>
      <c r="C26" s="631">
        <v>5353</v>
      </c>
      <c r="D26" s="631" t="s">
        <v>379</v>
      </c>
      <c r="E26" s="631" t="s">
        <v>282</v>
      </c>
      <c r="F26" s="631" t="s">
        <v>380</v>
      </c>
      <c r="G26" s="631" t="s">
        <v>347</v>
      </c>
      <c r="H26" s="631">
        <v>9.9699999999999997E-2</v>
      </c>
      <c r="I26" s="631" t="s">
        <v>189</v>
      </c>
      <c r="J26" s="631">
        <v>111</v>
      </c>
      <c r="K26" s="631"/>
      <c r="L26" s="631"/>
      <c r="M26" s="814">
        <v>0</v>
      </c>
      <c r="N26" s="1627"/>
      <c r="O26" s="1627" t="str">
        <f t="shared" si="9"/>
        <v>ReH 2.995/2021</v>
      </c>
      <c r="P26" s="814">
        <v>5.5899999999999998E-2</v>
      </c>
      <c r="Q26" s="1628">
        <v>21470201.670165978</v>
      </c>
      <c r="R26" s="1630">
        <v>44531</v>
      </c>
      <c r="S26" s="1627" t="str">
        <f t="shared" si="10"/>
        <v>Desp. 521/2022</v>
      </c>
      <c r="T26" s="631" t="s">
        <v>381</v>
      </c>
      <c r="U26" s="741" t="s">
        <v>382</v>
      </c>
      <c r="V26" s="1631">
        <v>2024</v>
      </c>
      <c r="W26" s="1632">
        <v>2950</v>
      </c>
      <c r="X26" s="1633" t="s">
        <v>2198</v>
      </c>
      <c r="Y26" s="631"/>
      <c r="AA26" s="819" t="s">
        <v>189</v>
      </c>
      <c r="AB26" s="817">
        <v>133.2436333697292</v>
      </c>
      <c r="AC26" s="822">
        <v>180.36</v>
      </c>
      <c r="AD26" s="822">
        <v>755772.02907041553</v>
      </c>
      <c r="AE26" s="741">
        <v>44430</v>
      </c>
      <c r="AF26" s="741">
        <v>44430</v>
      </c>
      <c r="AG26" s="817">
        <v>0</v>
      </c>
      <c r="AH26" s="631"/>
      <c r="AI26" s="741">
        <v>41472</v>
      </c>
      <c r="AJ26" s="741">
        <v>42641</v>
      </c>
      <c r="AK26" s="741" t="s">
        <v>289</v>
      </c>
      <c r="AL26" s="741"/>
      <c r="AM26" s="741"/>
      <c r="AN26" s="1629">
        <v>1175911.3899999999</v>
      </c>
      <c r="AO26" s="235"/>
      <c r="AP26" s="17"/>
      <c r="AR26" s="821" t="s">
        <v>182</v>
      </c>
      <c r="AS26" s="235"/>
      <c r="AT26" s="235"/>
      <c r="AX26" s="235"/>
    </row>
    <row r="27" spans="1:50" s="9" customFormat="1" ht="31.5" hidden="1">
      <c r="A27" s="631" t="s">
        <v>383</v>
      </c>
      <c r="B27" s="631" t="s">
        <v>384</v>
      </c>
      <c r="C27" s="631">
        <v>5355</v>
      </c>
      <c r="D27" s="631" t="s">
        <v>385</v>
      </c>
      <c r="E27" s="631" t="s">
        <v>282</v>
      </c>
      <c r="F27" s="631" t="s">
        <v>386</v>
      </c>
      <c r="G27" s="631" t="s">
        <v>347</v>
      </c>
      <c r="H27" s="631">
        <v>9.9699999999999997E-2</v>
      </c>
      <c r="I27" s="631" t="s">
        <v>189</v>
      </c>
      <c r="J27" s="631">
        <v>111</v>
      </c>
      <c r="K27" s="631"/>
      <c r="L27" s="631"/>
      <c r="M27" s="814">
        <v>0</v>
      </c>
      <c r="N27" s="1627"/>
      <c r="O27" s="1627" t="str">
        <f t="shared" si="9"/>
        <v>ReH 2.995/2021</v>
      </c>
      <c r="P27" s="814">
        <v>9.4600000000000004E-2</v>
      </c>
      <c r="Q27" s="1627">
        <v>8199512.497046981</v>
      </c>
      <c r="R27" s="1630">
        <v>44531</v>
      </c>
      <c r="S27" s="1627" t="str">
        <f t="shared" si="10"/>
        <v>Desp. 521/2022</v>
      </c>
      <c r="T27" s="631" t="s">
        <v>387</v>
      </c>
      <c r="U27" s="741" t="s">
        <v>388</v>
      </c>
      <c r="V27" s="1631">
        <v>2025</v>
      </c>
      <c r="W27" s="1632">
        <v>2957</v>
      </c>
      <c r="X27" s="1633" t="s">
        <v>2198</v>
      </c>
      <c r="Y27" s="631"/>
      <c r="AA27" s="819" t="s">
        <v>189</v>
      </c>
      <c r="AB27" s="817">
        <v>52.855625463016914</v>
      </c>
      <c r="AC27" s="822">
        <v>180.36</v>
      </c>
      <c r="AD27" s="822">
        <v>3264076.527192608</v>
      </c>
      <c r="AE27" s="741">
        <v>44430</v>
      </c>
      <c r="AF27" s="741">
        <v>44430</v>
      </c>
      <c r="AG27" s="817">
        <v>0</v>
      </c>
      <c r="AH27" s="631"/>
      <c r="AI27" s="741">
        <v>41365</v>
      </c>
      <c r="AJ27" s="741">
        <v>42641</v>
      </c>
      <c r="AK27" s="741" t="s">
        <v>289</v>
      </c>
      <c r="AL27" s="741"/>
      <c r="AM27" s="741"/>
      <c r="AN27" s="1629"/>
      <c r="AO27" s="235"/>
      <c r="AP27" s="17"/>
      <c r="AR27" s="821" t="s">
        <v>389</v>
      </c>
      <c r="AS27" s="235"/>
      <c r="AT27" s="235"/>
      <c r="AX27" s="235"/>
    </row>
    <row r="28" spans="1:50" s="9" customFormat="1" ht="31.5" hidden="1">
      <c r="A28" s="631" t="s">
        <v>390</v>
      </c>
      <c r="B28" s="631" t="s">
        <v>391</v>
      </c>
      <c r="C28" s="631">
        <v>5363</v>
      </c>
      <c r="D28" s="631" t="s">
        <v>392</v>
      </c>
      <c r="E28" s="631" t="s">
        <v>282</v>
      </c>
      <c r="F28" s="631" t="s">
        <v>393</v>
      </c>
      <c r="G28" s="631" t="s">
        <v>347</v>
      </c>
      <c r="H28" s="631">
        <v>9.9699999999999997E-2</v>
      </c>
      <c r="I28" s="631" t="s">
        <v>189</v>
      </c>
      <c r="J28" s="631">
        <v>111</v>
      </c>
      <c r="K28" s="631"/>
      <c r="L28" s="631"/>
      <c r="M28" s="814">
        <v>0</v>
      </c>
      <c r="N28" s="1627"/>
      <c r="O28" s="1627" t="str">
        <f t="shared" si="9"/>
        <v>ReH 2.995/2021</v>
      </c>
      <c r="P28" s="814">
        <v>8.7799999999999989E-2</v>
      </c>
      <c r="Q28" s="1627">
        <v>9453809.4927214365</v>
      </c>
      <c r="R28" s="1630">
        <v>44531</v>
      </c>
      <c r="S28" s="1627" t="str">
        <f t="shared" si="10"/>
        <v>Desp. 521/2022</v>
      </c>
      <c r="T28" s="631" t="s">
        <v>394</v>
      </c>
      <c r="U28" s="741" t="s">
        <v>349</v>
      </c>
      <c r="V28" s="1631">
        <v>2024</v>
      </c>
      <c r="W28" s="1632">
        <v>2947</v>
      </c>
      <c r="X28" s="1633" t="s">
        <v>2198</v>
      </c>
      <c r="Y28" s="631"/>
      <c r="AA28" s="819" t="s">
        <v>189</v>
      </c>
      <c r="AB28" s="817">
        <v>58.247314361695402</v>
      </c>
      <c r="AC28" s="822">
        <v>180.36</v>
      </c>
      <c r="AD28" s="822">
        <v>2499952.1881573107</v>
      </c>
      <c r="AE28" s="741">
        <v>44430</v>
      </c>
      <c r="AF28" s="741">
        <v>44430</v>
      </c>
      <c r="AG28" s="817">
        <v>0</v>
      </c>
      <c r="AH28" s="631"/>
      <c r="AI28" s="741">
        <v>41472</v>
      </c>
      <c r="AJ28" s="741">
        <v>42641</v>
      </c>
      <c r="AK28" s="741" t="s">
        <v>289</v>
      </c>
      <c r="AL28" s="741"/>
      <c r="AM28" s="741"/>
      <c r="AN28" s="1629"/>
      <c r="AO28" s="235"/>
      <c r="AP28" s="17"/>
      <c r="AR28" s="821" t="s">
        <v>185</v>
      </c>
      <c r="AS28" s="235"/>
      <c r="AT28" s="235"/>
      <c r="AX28" s="235"/>
    </row>
    <row r="29" spans="1:50" s="9" customFormat="1" ht="31.5" hidden="1">
      <c r="A29" s="631" t="s">
        <v>395</v>
      </c>
      <c r="B29" s="631" t="s">
        <v>396</v>
      </c>
      <c r="C29" s="631">
        <v>5364</v>
      </c>
      <c r="D29" s="631" t="s">
        <v>397</v>
      </c>
      <c r="E29" s="631" t="s">
        <v>282</v>
      </c>
      <c r="F29" s="631" t="s">
        <v>398</v>
      </c>
      <c r="G29" s="631" t="s">
        <v>347</v>
      </c>
      <c r="H29" s="631">
        <v>9.9699999999999997E-2</v>
      </c>
      <c r="I29" s="631" t="s">
        <v>189</v>
      </c>
      <c r="J29" s="631">
        <v>111</v>
      </c>
      <c r="K29" s="631"/>
      <c r="L29" s="631"/>
      <c r="M29" s="814">
        <v>0</v>
      </c>
      <c r="N29" s="1627"/>
      <c r="O29" s="1627" t="str">
        <f t="shared" si="9"/>
        <v>ReH 2.995/2021</v>
      </c>
      <c r="P29" s="814">
        <v>8.8100000000000012E-2</v>
      </c>
      <c r="Q29" s="1627">
        <v>28651980.425397582</v>
      </c>
      <c r="R29" s="1630">
        <v>44531</v>
      </c>
      <c r="S29" s="1627" t="str">
        <f t="shared" si="10"/>
        <v>Desp. 521/2022</v>
      </c>
      <c r="T29" s="631" t="s">
        <v>399</v>
      </c>
      <c r="U29" s="741" t="s">
        <v>400</v>
      </c>
      <c r="V29" s="631">
        <v>2022</v>
      </c>
      <c r="W29" s="1632">
        <v>2951</v>
      </c>
      <c r="X29" s="1633" t="s">
        <v>2198</v>
      </c>
      <c r="Y29" s="631"/>
      <c r="AA29" s="819" t="s">
        <v>189</v>
      </c>
      <c r="AB29" s="817">
        <v>179.67819908532709</v>
      </c>
      <c r="AC29" s="822">
        <v>180.36</v>
      </c>
      <c r="AD29" s="822">
        <v>1205667.8282342954</v>
      </c>
      <c r="AE29" s="741">
        <v>44430</v>
      </c>
      <c r="AF29" s="741">
        <v>44430</v>
      </c>
      <c r="AG29" s="817">
        <v>0</v>
      </c>
      <c r="AH29" s="631"/>
      <c r="AI29" s="741">
        <v>41365</v>
      </c>
      <c r="AJ29" s="741">
        <v>42641</v>
      </c>
      <c r="AK29" s="741" t="s">
        <v>289</v>
      </c>
      <c r="AL29" s="741"/>
      <c r="AM29" s="741"/>
      <c r="AN29" s="1629"/>
      <c r="AO29" s="235"/>
      <c r="AP29" s="17"/>
      <c r="AR29" s="821" t="s">
        <v>383</v>
      </c>
      <c r="AS29" s="235"/>
      <c r="AT29" s="235"/>
      <c r="AX29" s="235"/>
    </row>
    <row r="30" spans="1:50" s="9" customFormat="1" ht="31.5" hidden="1">
      <c r="A30" s="631" t="s">
        <v>401</v>
      </c>
      <c r="B30" s="631" t="s">
        <v>402</v>
      </c>
      <c r="C30" s="631">
        <v>5365</v>
      </c>
      <c r="D30" s="631" t="s">
        <v>403</v>
      </c>
      <c r="E30" s="631" t="s">
        <v>282</v>
      </c>
      <c r="F30" s="631" t="s">
        <v>404</v>
      </c>
      <c r="G30" s="631" t="s">
        <v>347</v>
      </c>
      <c r="H30" s="631">
        <v>9.9699999999999997E-2</v>
      </c>
      <c r="I30" s="631" t="s">
        <v>189</v>
      </c>
      <c r="J30" s="631">
        <v>111</v>
      </c>
      <c r="K30" s="631"/>
      <c r="L30" s="631"/>
      <c r="M30" s="814">
        <v>0</v>
      </c>
      <c r="N30" s="1627"/>
      <c r="O30" s="1627" t="str">
        <f t="shared" si="9"/>
        <v>ReH 2.995/2021</v>
      </c>
      <c r="P30" s="814">
        <v>8.5999999999999993E-2</v>
      </c>
      <c r="Q30" s="1627">
        <v>22196667.859687008</v>
      </c>
      <c r="R30" s="1630">
        <v>44531</v>
      </c>
      <c r="S30" s="1627" t="str">
        <f t="shared" si="10"/>
        <v>Desp. 521/2022</v>
      </c>
      <c r="T30" s="631" t="s">
        <v>405</v>
      </c>
      <c r="U30" s="741" t="s">
        <v>349</v>
      </c>
      <c r="V30" s="1631">
        <v>2024</v>
      </c>
      <c r="W30" s="1632">
        <v>2941</v>
      </c>
      <c r="X30" s="1633" t="s">
        <v>2198</v>
      </c>
      <c r="Y30" s="631"/>
      <c r="AA30" s="819" t="s">
        <v>189</v>
      </c>
      <c r="AB30" s="817">
        <v>91.699587599428298</v>
      </c>
      <c r="AC30" s="822">
        <v>180.36</v>
      </c>
      <c r="AD30" s="822">
        <v>3495955.8527844017</v>
      </c>
      <c r="AE30" s="741">
        <v>44430</v>
      </c>
      <c r="AF30" s="741">
        <v>44430</v>
      </c>
      <c r="AG30" s="817">
        <v>0</v>
      </c>
      <c r="AH30" s="631"/>
      <c r="AI30" s="741">
        <v>41472</v>
      </c>
      <c r="AJ30" s="741">
        <v>42641</v>
      </c>
      <c r="AK30" s="741" t="s">
        <v>289</v>
      </c>
      <c r="AL30" s="741"/>
      <c r="AM30" s="741"/>
      <c r="AN30" s="1629"/>
      <c r="AO30" s="235"/>
      <c r="AP30" s="17"/>
      <c r="AR30" s="821" t="s">
        <v>390</v>
      </c>
      <c r="AS30" s="235"/>
      <c r="AT30" s="235"/>
      <c r="AX30" s="235"/>
    </row>
    <row r="31" spans="1:50" s="9" customFormat="1" ht="31.5" hidden="1">
      <c r="A31" s="631" t="s">
        <v>406</v>
      </c>
      <c r="B31" s="631" t="s">
        <v>407</v>
      </c>
      <c r="C31" s="631">
        <v>5368</v>
      </c>
      <c r="D31" s="631" t="s">
        <v>408</v>
      </c>
      <c r="E31" s="631" t="s">
        <v>282</v>
      </c>
      <c r="F31" s="631" t="s">
        <v>409</v>
      </c>
      <c r="G31" s="631" t="s">
        <v>347</v>
      </c>
      <c r="H31" s="631">
        <v>9.9699999999999997E-2</v>
      </c>
      <c r="I31" s="631" t="s">
        <v>189</v>
      </c>
      <c r="J31" s="631">
        <v>111</v>
      </c>
      <c r="K31" s="631"/>
      <c r="L31" s="631"/>
      <c r="M31" s="814">
        <v>0</v>
      </c>
      <c r="N31" s="1627"/>
      <c r="O31" s="1627" t="str">
        <f t="shared" si="9"/>
        <v>ReH 2.995/2021</v>
      </c>
      <c r="P31" s="814">
        <v>0.15049999999999999</v>
      </c>
      <c r="Q31" s="1628">
        <v>35954089.405949146</v>
      </c>
      <c r="R31" s="1630">
        <v>44531</v>
      </c>
      <c r="S31" s="1627" t="str">
        <f t="shared" si="10"/>
        <v>Desp. 521/2022</v>
      </c>
      <c r="T31" s="631" t="s">
        <v>410</v>
      </c>
      <c r="U31" s="741" t="s">
        <v>349</v>
      </c>
      <c r="V31" s="1631">
        <v>2024</v>
      </c>
      <c r="W31" s="1632">
        <v>2953</v>
      </c>
      <c r="X31" s="1633" t="s">
        <v>2198</v>
      </c>
      <c r="Y31" s="631"/>
      <c r="AA31" s="819" t="s">
        <v>189</v>
      </c>
      <c r="AB31" s="817">
        <v>61.746716264073157</v>
      </c>
      <c r="AC31" s="822">
        <v>180.36</v>
      </c>
      <c r="AD31" s="822">
        <v>18151717.219335504</v>
      </c>
      <c r="AE31" s="741">
        <v>44430</v>
      </c>
      <c r="AF31" s="741">
        <v>44430</v>
      </c>
      <c r="AG31" s="817">
        <v>0</v>
      </c>
      <c r="AH31" s="631"/>
      <c r="AI31" s="741">
        <v>41472</v>
      </c>
      <c r="AJ31" s="741">
        <v>42641</v>
      </c>
      <c r="AK31" s="741" t="s">
        <v>289</v>
      </c>
      <c r="AL31" s="741"/>
      <c r="AM31" s="741"/>
      <c r="AN31" s="1629"/>
      <c r="AO31" s="235"/>
      <c r="AP31" s="17"/>
      <c r="AR31" s="821" t="s">
        <v>175</v>
      </c>
      <c r="AS31" s="235"/>
      <c r="AT31" s="235"/>
      <c r="AX31" s="235"/>
    </row>
    <row r="32" spans="1:50" s="9" customFormat="1" ht="31.5" hidden="1">
      <c r="A32" s="631" t="s">
        <v>411</v>
      </c>
      <c r="B32" s="631" t="s">
        <v>412</v>
      </c>
      <c r="C32" s="631">
        <v>5369</v>
      </c>
      <c r="D32" s="631" t="s">
        <v>413</v>
      </c>
      <c r="E32" s="631" t="s">
        <v>282</v>
      </c>
      <c r="F32" s="631" t="s">
        <v>414</v>
      </c>
      <c r="G32" s="631" t="s">
        <v>347</v>
      </c>
      <c r="H32" s="631">
        <v>9.9699999999999997E-2</v>
      </c>
      <c r="I32" s="631" t="s">
        <v>189</v>
      </c>
      <c r="J32" s="631">
        <v>111</v>
      </c>
      <c r="K32" s="631"/>
      <c r="L32" s="631"/>
      <c r="M32" s="814">
        <v>0</v>
      </c>
      <c r="N32" s="1627"/>
      <c r="O32" s="1627" t="str">
        <f t="shared" si="9"/>
        <v>ReH 2.995/2021</v>
      </c>
      <c r="P32" s="814">
        <v>8.4100000000000008E-2</v>
      </c>
      <c r="Q32" s="1628">
        <v>13590865.443045003</v>
      </c>
      <c r="R32" s="1630">
        <v>44531</v>
      </c>
      <c r="S32" s="1627" t="str">
        <f t="shared" si="10"/>
        <v>Desp. 521/2022</v>
      </c>
      <c r="T32" s="631" t="s">
        <v>415</v>
      </c>
      <c r="U32" s="741" t="s">
        <v>388</v>
      </c>
      <c r="V32" s="1631">
        <v>2025</v>
      </c>
      <c r="W32" s="1632">
        <v>2943</v>
      </c>
      <c r="X32" s="1633" t="s">
        <v>2198</v>
      </c>
      <c r="Y32" s="631"/>
      <c r="AA32" s="819" t="s">
        <v>189</v>
      </c>
      <c r="AB32" s="817">
        <v>81.509152888329083</v>
      </c>
      <c r="AC32" s="822">
        <v>180.36</v>
      </c>
      <c r="AD32" s="822">
        <v>2315515.5721165724</v>
      </c>
      <c r="AE32" s="741">
        <v>44430</v>
      </c>
      <c r="AF32" s="741">
        <v>44430</v>
      </c>
      <c r="AG32" s="817">
        <v>0</v>
      </c>
      <c r="AH32" s="631"/>
      <c r="AI32" s="741">
        <v>41365</v>
      </c>
      <c r="AJ32" s="741">
        <v>42641</v>
      </c>
      <c r="AK32" s="741" t="s">
        <v>289</v>
      </c>
      <c r="AL32" s="741"/>
      <c r="AM32" s="741"/>
      <c r="AN32" s="1629"/>
      <c r="AO32" s="235"/>
      <c r="AP32" s="17"/>
      <c r="AR32" s="821" t="s">
        <v>296</v>
      </c>
      <c r="AS32" s="235"/>
      <c r="AT32" s="235"/>
      <c r="AX32" s="235"/>
    </row>
    <row r="33" spans="1:50" s="9" customFormat="1" ht="31.5" hidden="1">
      <c r="A33" s="631" t="s">
        <v>188</v>
      </c>
      <c r="B33" s="631" t="s">
        <v>416</v>
      </c>
      <c r="C33" s="631">
        <v>5370</v>
      </c>
      <c r="D33" s="631" t="s">
        <v>417</v>
      </c>
      <c r="E33" s="631" t="s">
        <v>282</v>
      </c>
      <c r="F33" s="631" t="s">
        <v>418</v>
      </c>
      <c r="G33" s="631" t="s">
        <v>347</v>
      </c>
      <c r="H33" s="631">
        <v>9.9699999999999997E-2</v>
      </c>
      <c r="I33" s="631" t="s">
        <v>189</v>
      </c>
      <c r="J33" s="631">
        <v>111</v>
      </c>
      <c r="K33" s="631"/>
      <c r="L33" s="631"/>
      <c r="M33" s="814">
        <v>0</v>
      </c>
      <c r="N33" s="1627"/>
      <c r="O33" s="1627" t="str">
        <f t="shared" si="9"/>
        <v>ReH 2.995/2021</v>
      </c>
      <c r="P33" s="814">
        <v>0.1076</v>
      </c>
      <c r="Q33" s="1628">
        <v>60899756.095931061</v>
      </c>
      <c r="R33" s="1630">
        <v>44531</v>
      </c>
      <c r="S33" s="1627" t="str">
        <f t="shared" si="10"/>
        <v>Desp. 521/2022</v>
      </c>
      <c r="T33" s="631" t="s">
        <v>419</v>
      </c>
      <c r="U33" s="741" t="s">
        <v>349</v>
      </c>
      <c r="V33" s="1631">
        <v>2024</v>
      </c>
      <c r="W33" s="1632">
        <v>2937</v>
      </c>
      <c r="X33" s="1633" t="s">
        <v>2198</v>
      </c>
      <c r="Y33" s="631"/>
      <c r="AA33" s="819" t="s">
        <v>189</v>
      </c>
      <c r="AB33" s="817">
        <v>214.41662426644362</v>
      </c>
      <c r="AC33" s="822">
        <v>180.36</v>
      </c>
      <c r="AD33" s="822">
        <v>0</v>
      </c>
      <c r="AE33" s="741">
        <v>44430</v>
      </c>
      <c r="AF33" s="741">
        <v>44430</v>
      </c>
      <c r="AG33" s="817">
        <v>0</v>
      </c>
      <c r="AH33" s="631"/>
      <c r="AI33" s="741">
        <v>41472</v>
      </c>
      <c r="AJ33" s="741">
        <v>42641</v>
      </c>
      <c r="AK33" s="741" t="s">
        <v>289</v>
      </c>
      <c r="AL33" s="741"/>
      <c r="AM33" s="741"/>
      <c r="AN33" s="1629">
        <v>9419991.3800000008</v>
      </c>
      <c r="AO33" s="235"/>
      <c r="AP33" s="17"/>
      <c r="AR33" s="821" t="s">
        <v>302</v>
      </c>
      <c r="AS33" s="235"/>
      <c r="AT33" s="235"/>
      <c r="AX33" s="235"/>
    </row>
    <row r="34" spans="1:50" s="9" customFormat="1" ht="31.5" hidden="1">
      <c r="A34" s="631" t="s">
        <v>420</v>
      </c>
      <c r="B34" s="631" t="s">
        <v>421</v>
      </c>
      <c r="C34" s="631">
        <v>5371</v>
      </c>
      <c r="D34" s="631" t="s">
        <v>422</v>
      </c>
      <c r="E34" s="631" t="s">
        <v>282</v>
      </c>
      <c r="F34" s="631" t="s">
        <v>423</v>
      </c>
      <c r="G34" s="631" t="s">
        <v>347</v>
      </c>
      <c r="H34" s="631">
        <v>9.9699999999999997E-2</v>
      </c>
      <c r="I34" s="631" t="s">
        <v>189</v>
      </c>
      <c r="J34" s="631">
        <v>111</v>
      </c>
      <c r="K34" s="631" t="s">
        <v>424</v>
      </c>
      <c r="L34" s="631">
        <v>144</v>
      </c>
      <c r="M34" s="814">
        <v>0</v>
      </c>
      <c r="N34" s="1627"/>
      <c r="O34" s="1627" t="str">
        <f t="shared" si="9"/>
        <v>ReH 2.995/2021</v>
      </c>
      <c r="P34" s="814">
        <v>9.5000000000000001E-2</v>
      </c>
      <c r="Q34" s="1627">
        <v>19126030.720523704</v>
      </c>
      <c r="R34" s="1630">
        <v>44531</v>
      </c>
      <c r="S34" s="1627" t="str">
        <f t="shared" si="10"/>
        <v>Desp. 521/2022</v>
      </c>
      <c r="T34" s="631" t="s">
        <v>425</v>
      </c>
      <c r="U34" s="741" t="s">
        <v>426</v>
      </c>
      <c r="V34" s="631">
        <v>2022</v>
      </c>
      <c r="W34" s="1632">
        <v>2948</v>
      </c>
      <c r="X34" s="1633" t="s">
        <v>2198</v>
      </c>
      <c r="Y34" s="631"/>
      <c r="AA34" s="819" t="s">
        <v>189</v>
      </c>
      <c r="AB34" s="817">
        <v>144.17854635765113</v>
      </c>
      <c r="AC34" s="822">
        <v>180.36</v>
      </c>
      <c r="AD34" s="822">
        <v>3162343.6648914311</v>
      </c>
      <c r="AE34" s="741">
        <v>44430</v>
      </c>
      <c r="AF34" s="741">
        <v>44430</v>
      </c>
      <c r="AG34" s="817">
        <v>0</v>
      </c>
      <c r="AH34" s="631"/>
      <c r="AI34" s="741">
        <v>41365</v>
      </c>
      <c r="AJ34" s="741">
        <v>42641</v>
      </c>
      <c r="AK34" s="741" t="s">
        <v>289</v>
      </c>
      <c r="AL34" s="741"/>
      <c r="AM34" s="741"/>
      <c r="AN34" s="1629"/>
      <c r="AO34" s="235"/>
      <c r="AP34" s="17"/>
      <c r="AR34" s="821" t="s">
        <v>308</v>
      </c>
      <c r="AS34" s="235"/>
      <c r="AT34" s="235"/>
      <c r="AX34" s="235"/>
    </row>
    <row r="35" spans="1:50" s="9" customFormat="1" ht="31.5" hidden="1">
      <c r="A35" s="631" t="s">
        <v>427</v>
      </c>
      <c r="B35" s="631" t="s">
        <v>428</v>
      </c>
      <c r="C35" s="631">
        <v>5373</v>
      </c>
      <c r="D35" s="631" t="s">
        <v>429</v>
      </c>
      <c r="E35" s="631" t="s">
        <v>282</v>
      </c>
      <c r="F35" s="631" t="s">
        <v>430</v>
      </c>
      <c r="G35" s="631" t="s">
        <v>347</v>
      </c>
      <c r="H35" s="631">
        <v>9.9699999999999997E-2</v>
      </c>
      <c r="I35" s="631" t="s">
        <v>189</v>
      </c>
      <c r="J35" s="631">
        <v>111</v>
      </c>
      <c r="K35" s="631"/>
      <c r="L35" s="631"/>
      <c r="M35" s="814">
        <v>0</v>
      </c>
      <c r="N35" s="1627"/>
      <c r="O35" s="1627" t="str">
        <f t="shared" si="9"/>
        <v>ReH 2.995/2021</v>
      </c>
      <c r="P35" s="814">
        <v>0.1487</v>
      </c>
      <c r="Q35" s="1627">
        <v>2738505.6826723199</v>
      </c>
      <c r="R35" s="1630">
        <v>44531</v>
      </c>
      <c r="S35" s="1627" t="str">
        <f t="shared" si="10"/>
        <v>Desp. 521/2022</v>
      </c>
      <c r="T35" s="631" t="s">
        <v>431</v>
      </c>
      <c r="U35" s="741" t="s">
        <v>382</v>
      </c>
      <c r="V35" s="1631">
        <v>2024</v>
      </c>
      <c r="W35" s="1632">
        <v>2942</v>
      </c>
      <c r="X35" s="1633" t="s">
        <v>2198</v>
      </c>
      <c r="Y35" s="631"/>
      <c r="AA35" s="819" t="s">
        <v>189</v>
      </c>
      <c r="AB35" s="817">
        <v>63.276120153090822</v>
      </c>
      <c r="AC35" s="822">
        <v>180.36</v>
      </c>
      <c r="AD35" s="822">
        <v>1357439.1316492993</v>
      </c>
      <c r="AE35" s="741">
        <v>44430</v>
      </c>
      <c r="AF35" s="741">
        <v>44430</v>
      </c>
      <c r="AG35" s="817">
        <v>0</v>
      </c>
      <c r="AH35" s="631"/>
      <c r="AI35" s="741">
        <v>41472</v>
      </c>
      <c r="AJ35" s="741">
        <v>42641</v>
      </c>
      <c r="AK35" s="741" t="s">
        <v>289</v>
      </c>
      <c r="AL35" s="741"/>
      <c r="AM35" s="741"/>
      <c r="AN35" s="1629"/>
      <c r="AO35" s="235"/>
      <c r="AP35" s="17"/>
      <c r="AR35" s="821" t="s">
        <v>315</v>
      </c>
      <c r="AS35" s="235"/>
      <c r="AT35" s="235"/>
      <c r="AX35" s="235"/>
    </row>
    <row r="36" spans="1:50" s="9" customFormat="1" ht="31.5" hidden="1">
      <c r="A36" s="631" t="s">
        <v>432</v>
      </c>
      <c r="B36" s="631" t="s">
        <v>433</v>
      </c>
      <c r="C36" s="631">
        <v>7016</v>
      </c>
      <c r="D36" s="631" t="s">
        <v>434</v>
      </c>
      <c r="E36" s="631" t="s">
        <v>282</v>
      </c>
      <c r="F36" s="631" t="s">
        <v>435</v>
      </c>
      <c r="G36" s="631" t="s">
        <v>347</v>
      </c>
      <c r="H36" s="631">
        <v>9.9699999999999997E-2</v>
      </c>
      <c r="I36" s="631" t="s">
        <v>189</v>
      </c>
      <c r="J36" s="631">
        <v>111</v>
      </c>
      <c r="K36" s="631"/>
      <c r="L36" s="631"/>
      <c r="M36" s="814">
        <v>0</v>
      </c>
      <c r="N36" s="1627"/>
      <c r="O36" s="1627" t="str">
        <f t="shared" si="9"/>
        <v>ReH 2.995/2021</v>
      </c>
      <c r="P36" s="814">
        <v>0.14050000000000001</v>
      </c>
      <c r="Q36" s="1628">
        <v>17300202.805932775</v>
      </c>
      <c r="R36" s="1630">
        <v>44531</v>
      </c>
      <c r="S36" s="1627" t="str">
        <f t="shared" si="10"/>
        <v>Desp. 521/2022</v>
      </c>
      <c r="T36" s="631" t="s">
        <v>436</v>
      </c>
      <c r="U36" s="741" t="s">
        <v>349</v>
      </c>
      <c r="V36" s="1631">
        <v>2024</v>
      </c>
      <c r="W36" s="1632">
        <v>2956</v>
      </c>
      <c r="X36" s="1633" t="s">
        <v>2198</v>
      </c>
      <c r="Y36" s="631"/>
      <c r="AA36" s="819" t="s">
        <v>189</v>
      </c>
      <c r="AB36" s="817">
        <v>49.410527393388534</v>
      </c>
      <c r="AC36" s="822">
        <v>180.36</v>
      </c>
      <c r="AD36" s="822">
        <v>6872759.7273220662</v>
      </c>
      <c r="AE36" s="741">
        <v>44430</v>
      </c>
      <c r="AF36" s="741">
        <v>44430</v>
      </c>
      <c r="AG36" s="817">
        <v>0</v>
      </c>
      <c r="AH36" s="631"/>
      <c r="AI36" s="741">
        <v>41472</v>
      </c>
      <c r="AJ36" s="741">
        <v>42641</v>
      </c>
      <c r="AK36" s="741" t="s">
        <v>289</v>
      </c>
      <c r="AL36" s="741"/>
      <c r="AM36" s="741"/>
      <c r="AN36" s="1629"/>
      <c r="AO36" s="235"/>
      <c r="AP36" s="17"/>
      <c r="AR36" s="821" t="s">
        <v>437</v>
      </c>
      <c r="AS36" s="235"/>
      <c r="AT36" s="235"/>
      <c r="AX36" s="235"/>
    </row>
    <row r="37" spans="1:50" s="9" customFormat="1" ht="31.5" hidden="1">
      <c r="A37" s="631" t="s">
        <v>175</v>
      </c>
      <c r="B37" s="631" t="s">
        <v>438</v>
      </c>
      <c r="C37" s="631">
        <v>2763</v>
      </c>
      <c r="D37" s="631" t="s">
        <v>439</v>
      </c>
      <c r="E37" s="631" t="s">
        <v>282</v>
      </c>
      <c r="F37" s="631" t="s">
        <v>440</v>
      </c>
      <c r="G37" s="631" t="s">
        <v>441</v>
      </c>
      <c r="H37" s="631">
        <v>9.9699999999999997E-2</v>
      </c>
      <c r="I37" s="631" t="s">
        <v>206</v>
      </c>
      <c r="J37" s="631">
        <v>167</v>
      </c>
      <c r="K37" s="631"/>
      <c r="L37" s="631"/>
      <c r="M37" s="814">
        <v>0</v>
      </c>
      <c r="N37" s="1627"/>
      <c r="O37" s="1627" t="str">
        <f t="shared" si="9"/>
        <v>ReH 2.995/2021</v>
      </c>
      <c r="P37" s="814">
        <v>0.21060000000000001</v>
      </c>
      <c r="Q37" s="1627">
        <v>40296212.128956385</v>
      </c>
      <c r="R37" s="1630">
        <v>44531</v>
      </c>
      <c r="S37" s="1627" t="str">
        <f t="shared" si="10"/>
        <v>Desp. 521/2022</v>
      </c>
      <c r="T37" s="631" t="s">
        <v>442</v>
      </c>
      <c r="U37" s="741" t="s">
        <v>443</v>
      </c>
      <c r="V37" s="631">
        <v>2022</v>
      </c>
      <c r="W37" s="1632">
        <v>2917</v>
      </c>
      <c r="X37" s="1633" t="s">
        <v>2196</v>
      </c>
      <c r="Y37" s="631"/>
      <c r="AA37" s="819" t="s">
        <v>206</v>
      </c>
      <c r="AB37" s="817">
        <v>29.55</v>
      </c>
      <c r="AC37" s="822">
        <v>108.15</v>
      </c>
      <c r="AD37" s="822">
        <v>14515437.369999999</v>
      </c>
      <c r="AE37" s="741">
        <v>43270</v>
      </c>
      <c r="AF37" s="741">
        <v>43270</v>
      </c>
      <c r="AG37" s="817">
        <v>0</v>
      </c>
      <c r="AH37" s="631"/>
      <c r="AI37" s="741">
        <v>41365</v>
      </c>
      <c r="AJ37" s="741">
        <v>42551</v>
      </c>
      <c r="AK37" s="741" t="s">
        <v>289</v>
      </c>
      <c r="AL37" s="741"/>
      <c r="AM37" s="741"/>
      <c r="AN37" s="1629">
        <v>2202975.46</v>
      </c>
      <c r="AO37" s="235"/>
      <c r="AP37" s="17"/>
      <c r="AR37" s="821" t="s">
        <v>395</v>
      </c>
      <c r="AS37" s="235"/>
      <c r="AT37" s="235"/>
      <c r="AX37" s="235"/>
    </row>
    <row r="38" spans="1:50" s="9" customFormat="1" ht="31.5" hidden="1">
      <c r="A38" s="631" t="s">
        <v>437</v>
      </c>
      <c r="B38" s="631" t="s">
        <v>444</v>
      </c>
      <c r="C38" s="631">
        <v>2381</v>
      </c>
      <c r="D38" s="631" t="s">
        <v>445</v>
      </c>
      <c r="E38" s="631" t="s">
        <v>282</v>
      </c>
      <c r="F38" s="631" t="s">
        <v>446</v>
      </c>
      <c r="G38" s="631" t="s">
        <v>441</v>
      </c>
      <c r="H38" s="631">
        <v>9.9699999999999997E-2</v>
      </c>
      <c r="I38" s="631" t="s">
        <v>206</v>
      </c>
      <c r="J38" s="631">
        <v>167</v>
      </c>
      <c r="K38" s="631"/>
      <c r="L38" s="631"/>
      <c r="M38" s="814">
        <v>0</v>
      </c>
      <c r="N38" s="1627"/>
      <c r="O38" s="1627" t="str">
        <f t="shared" si="9"/>
        <v>ReH 2.995/2021</v>
      </c>
      <c r="P38" s="814">
        <v>0.1535</v>
      </c>
      <c r="Q38" s="1627">
        <v>57163108.857696883</v>
      </c>
      <c r="R38" s="1630">
        <v>44531</v>
      </c>
      <c r="S38" s="1627" t="str">
        <f t="shared" si="10"/>
        <v>Desp. 521/2022</v>
      </c>
      <c r="T38" s="631" t="s">
        <v>447</v>
      </c>
      <c r="U38" s="741" t="s">
        <v>448</v>
      </c>
      <c r="V38" s="1631">
        <v>2025</v>
      </c>
      <c r="W38" s="1632">
        <v>2904</v>
      </c>
      <c r="X38" s="1633" t="s">
        <v>2196</v>
      </c>
      <c r="Y38" s="631"/>
      <c r="AA38" s="819" t="s">
        <v>206</v>
      </c>
      <c r="AB38" s="817">
        <v>18.75</v>
      </c>
      <c r="AC38" s="822">
        <v>108.15</v>
      </c>
      <c r="AD38" s="822">
        <v>22607799.66</v>
      </c>
      <c r="AE38" s="741">
        <v>43270</v>
      </c>
      <c r="AF38" s="741">
        <v>43270</v>
      </c>
      <c r="AG38" s="817">
        <v>69.23</v>
      </c>
      <c r="AH38" s="741">
        <v>42917</v>
      </c>
      <c r="AI38" s="741">
        <v>41365</v>
      </c>
      <c r="AJ38" s="741">
        <v>42551</v>
      </c>
      <c r="AK38" s="741" t="s">
        <v>289</v>
      </c>
      <c r="AL38" s="741"/>
      <c r="AM38" s="741"/>
      <c r="AN38" s="1629"/>
      <c r="AO38" s="235"/>
      <c r="AP38" s="17"/>
      <c r="AR38" s="821" t="s">
        <v>321</v>
      </c>
      <c r="AS38" s="235"/>
      <c r="AT38" s="235"/>
      <c r="AX38" s="235"/>
    </row>
    <row r="39" spans="1:50" s="9" customFormat="1" ht="31.5" hidden="1">
      <c r="A39" s="631" t="s">
        <v>449</v>
      </c>
      <c r="B39" s="631" t="s">
        <v>450</v>
      </c>
      <c r="C39" s="631">
        <v>3223</v>
      </c>
      <c r="D39" s="631" t="s">
        <v>451</v>
      </c>
      <c r="E39" s="631" t="s">
        <v>282</v>
      </c>
      <c r="F39" s="631" t="s">
        <v>452</v>
      </c>
      <c r="G39" s="631" t="s">
        <v>441</v>
      </c>
      <c r="H39" s="631">
        <v>9.9699999999999997E-2</v>
      </c>
      <c r="I39" s="631" t="s">
        <v>206</v>
      </c>
      <c r="J39" s="631">
        <v>167</v>
      </c>
      <c r="K39" s="631" t="s">
        <v>353</v>
      </c>
      <c r="L39" s="631">
        <v>110</v>
      </c>
      <c r="M39" s="814">
        <v>0</v>
      </c>
      <c r="N39" s="1627"/>
      <c r="O39" s="1627" t="str">
        <f t="shared" si="9"/>
        <v>ReH 2.995/2021</v>
      </c>
      <c r="P39" s="814">
        <v>0.1507</v>
      </c>
      <c r="Q39" s="1627">
        <v>44907656.56835518</v>
      </c>
      <c r="R39" s="1630">
        <v>44531</v>
      </c>
      <c r="S39" s="1627" t="str">
        <f t="shared" si="10"/>
        <v>Desp. 521/2022</v>
      </c>
      <c r="T39" s="631" t="s">
        <v>453</v>
      </c>
      <c r="U39" s="741" t="s">
        <v>454</v>
      </c>
      <c r="V39" s="1631">
        <v>2025</v>
      </c>
      <c r="W39" s="1632">
        <v>2914</v>
      </c>
      <c r="X39" s="1633" t="s">
        <v>2196</v>
      </c>
      <c r="Y39" s="631"/>
      <c r="AA39" s="819" t="s">
        <v>206</v>
      </c>
      <c r="AB39" s="817">
        <v>23.94</v>
      </c>
      <c r="AC39" s="822">
        <v>131.34</v>
      </c>
      <c r="AD39" s="822">
        <v>17583006.989999998</v>
      </c>
      <c r="AE39" s="741">
        <v>43209</v>
      </c>
      <c r="AF39" s="741">
        <v>43270</v>
      </c>
      <c r="AG39" s="817">
        <v>0</v>
      </c>
      <c r="AH39" s="631"/>
      <c r="AI39" s="741">
        <v>41472</v>
      </c>
      <c r="AJ39" s="741">
        <v>42486</v>
      </c>
      <c r="AK39" s="741" t="s">
        <v>289</v>
      </c>
      <c r="AL39" s="741"/>
      <c r="AM39" s="741"/>
      <c r="AN39" s="1629"/>
      <c r="AO39" s="235"/>
      <c r="AP39" s="17"/>
      <c r="AR39" s="821" t="s">
        <v>401</v>
      </c>
      <c r="AS39" s="235"/>
      <c r="AT39" s="235"/>
      <c r="AX39" s="235"/>
    </row>
    <row r="40" spans="1:50" s="9" customFormat="1" ht="31.5" hidden="1">
      <c r="A40" s="631" t="s">
        <v>201</v>
      </c>
      <c r="B40" s="631" t="s">
        <v>455</v>
      </c>
      <c r="C40" s="631">
        <v>7371</v>
      </c>
      <c r="D40" s="631" t="s">
        <v>456</v>
      </c>
      <c r="E40" s="631" t="s">
        <v>282</v>
      </c>
      <c r="F40" s="631" t="s">
        <v>457</v>
      </c>
      <c r="G40" s="631" t="s">
        <v>441</v>
      </c>
      <c r="H40" s="631">
        <v>9.9699999999999997E-2</v>
      </c>
      <c r="I40" s="631" t="s">
        <v>206</v>
      </c>
      <c r="J40" s="631">
        <v>167</v>
      </c>
      <c r="K40" s="631"/>
      <c r="L40" s="631"/>
      <c r="M40" s="814">
        <v>0</v>
      </c>
      <c r="N40" s="1627"/>
      <c r="O40" s="1627" t="str">
        <f t="shared" si="9"/>
        <v>ReH 2.995/2021</v>
      </c>
      <c r="P40" s="814">
        <v>0.15609999999999999</v>
      </c>
      <c r="Q40" s="1627">
        <v>93567555.592848957</v>
      </c>
      <c r="R40" s="1630">
        <v>44531</v>
      </c>
      <c r="S40" s="1627" t="str">
        <f t="shared" si="10"/>
        <v>Desp. 521/2022</v>
      </c>
      <c r="T40" s="631" t="s">
        <v>458</v>
      </c>
      <c r="U40" s="741" t="s">
        <v>459</v>
      </c>
      <c r="V40" s="631">
        <v>2022</v>
      </c>
      <c r="W40" s="1632">
        <v>2916</v>
      </c>
      <c r="X40" s="1633" t="s">
        <v>2196</v>
      </c>
      <c r="Y40" s="631"/>
      <c r="AA40" s="819" t="s">
        <v>206</v>
      </c>
      <c r="AB40" s="817">
        <v>68.319999999999993</v>
      </c>
      <c r="AC40" s="822">
        <v>131.34</v>
      </c>
      <c r="AD40" s="822">
        <v>13728441.029999999</v>
      </c>
      <c r="AE40" s="741">
        <v>43209</v>
      </c>
      <c r="AF40" s="741">
        <v>43270</v>
      </c>
      <c r="AG40" s="817">
        <v>0</v>
      </c>
      <c r="AH40" s="631"/>
      <c r="AI40" s="741">
        <v>41365</v>
      </c>
      <c r="AJ40" s="741">
        <v>42547</v>
      </c>
      <c r="AK40" s="741" t="s">
        <v>289</v>
      </c>
      <c r="AL40" s="741"/>
      <c r="AM40" s="741"/>
      <c r="AN40" s="1629">
        <v>6350526.4100000001</v>
      </c>
      <c r="AO40" s="235"/>
      <c r="AP40" s="17"/>
      <c r="AR40" s="821" t="s">
        <v>328</v>
      </c>
      <c r="AS40" s="235"/>
      <c r="AT40" s="235"/>
      <c r="AX40" s="235"/>
    </row>
    <row r="41" spans="1:50" s="9" customFormat="1" ht="31.5" hidden="1">
      <c r="A41" s="631" t="s">
        <v>460</v>
      </c>
      <c r="B41" s="631" t="s">
        <v>461</v>
      </c>
      <c r="C41" s="631">
        <v>3627</v>
      </c>
      <c r="D41" s="631" t="s">
        <v>462</v>
      </c>
      <c r="E41" s="631" t="s">
        <v>282</v>
      </c>
      <c r="F41" s="631" t="s">
        <v>463</v>
      </c>
      <c r="G41" s="631" t="s">
        <v>441</v>
      </c>
      <c r="H41" s="631">
        <v>9.9699999999999997E-2</v>
      </c>
      <c r="I41" s="631" t="s">
        <v>206</v>
      </c>
      <c r="J41" s="631">
        <v>167</v>
      </c>
      <c r="K41" s="631"/>
      <c r="L41" s="631"/>
      <c r="M41" s="814">
        <v>0</v>
      </c>
      <c r="N41" s="1627"/>
      <c r="O41" s="1627" t="str">
        <f t="shared" si="9"/>
        <v>ReH 2.995/2021</v>
      </c>
      <c r="P41" s="814">
        <v>0.1338</v>
      </c>
      <c r="Q41" s="1627">
        <v>35123897.452622667</v>
      </c>
      <c r="R41" s="1630">
        <v>44531</v>
      </c>
      <c r="S41" s="1627" t="str">
        <f t="shared" si="10"/>
        <v>Desp. 521/2022</v>
      </c>
      <c r="T41" s="631" t="s">
        <v>464</v>
      </c>
      <c r="U41" s="741" t="s">
        <v>459</v>
      </c>
      <c r="V41" s="1631">
        <v>2025</v>
      </c>
      <c r="W41" s="1632">
        <v>2909</v>
      </c>
      <c r="X41" s="1633" t="s">
        <v>2196</v>
      </c>
      <c r="Y41" s="631"/>
      <c r="AA41" s="819" t="s">
        <v>206</v>
      </c>
      <c r="AB41" s="817">
        <v>13.93</v>
      </c>
      <c r="AC41" s="822">
        <v>108.15</v>
      </c>
      <c r="AD41" s="822">
        <v>18556964.23</v>
      </c>
      <c r="AE41" s="741">
        <v>43270</v>
      </c>
      <c r="AF41" s="741">
        <v>43270</v>
      </c>
      <c r="AG41" s="817">
        <v>0</v>
      </c>
      <c r="AH41" s="631"/>
      <c r="AI41" s="741">
        <v>41365</v>
      </c>
      <c r="AJ41" s="741">
        <v>42551</v>
      </c>
      <c r="AK41" s="741" t="s">
        <v>289</v>
      </c>
      <c r="AL41" s="741"/>
      <c r="AM41" s="741"/>
      <c r="AN41" s="1629"/>
      <c r="AO41" s="235"/>
      <c r="AP41" s="17"/>
      <c r="AR41" s="821" t="s">
        <v>333</v>
      </c>
      <c r="AS41" s="235"/>
      <c r="AT41" s="235"/>
      <c r="AX41" s="235"/>
    </row>
    <row r="42" spans="1:50" s="9" customFormat="1" ht="31.5" hidden="1">
      <c r="A42" s="631" t="s">
        <v>465</v>
      </c>
      <c r="B42" s="631" t="s">
        <v>466</v>
      </c>
      <c r="C42" s="631">
        <v>2351</v>
      </c>
      <c r="D42" s="631" t="s">
        <v>467</v>
      </c>
      <c r="E42" s="631" t="s">
        <v>282</v>
      </c>
      <c r="F42" s="631" t="s">
        <v>468</v>
      </c>
      <c r="G42" s="631" t="s">
        <v>441</v>
      </c>
      <c r="H42" s="631">
        <v>9.9699999999999997E-2</v>
      </c>
      <c r="I42" s="631" t="s">
        <v>206</v>
      </c>
      <c r="J42" s="631">
        <v>167</v>
      </c>
      <c r="K42" s="631"/>
      <c r="L42" s="631"/>
      <c r="M42" s="814">
        <v>0</v>
      </c>
      <c r="N42" s="1627"/>
      <c r="O42" s="1627" t="str">
        <f t="shared" si="9"/>
        <v>ReH 2.995/2021</v>
      </c>
      <c r="P42" s="814">
        <v>0.1832</v>
      </c>
      <c r="Q42" s="1627">
        <v>118984269.89510354</v>
      </c>
      <c r="R42" s="1630">
        <v>44531</v>
      </c>
      <c r="S42" s="1627" t="str">
        <f t="shared" si="10"/>
        <v>Desp. 521/2022</v>
      </c>
      <c r="T42" s="631" t="s">
        <v>469</v>
      </c>
      <c r="U42" s="741" t="s">
        <v>470</v>
      </c>
      <c r="V42" s="1631">
        <v>2025</v>
      </c>
      <c r="W42" s="1632">
        <v>2912</v>
      </c>
      <c r="X42" s="1633" t="s">
        <v>2196</v>
      </c>
      <c r="Y42" s="631"/>
      <c r="AA42" s="819" t="s">
        <v>206</v>
      </c>
      <c r="AB42" s="817">
        <v>22.64</v>
      </c>
      <c r="AC42" s="822">
        <v>108.15</v>
      </c>
      <c r="AD42" s="822">
        <v>55770868.960000001</v>
      </c>
      <c r="AE42" s="741">
        <v>43270</v>
      </c>
      <c r="AF42" s="741">
        <v>43270</v>
      </c>
      <c r="AG42" s="817">
        <v>0</v>
      </c>
      <c r="AH42" s="631"/>
      <c r="AI42" s="741">
        <v>41365</v>
      </c>
      <c r="AJ42" s="741">
        <v>42551</v>
      </c>
      <c r="AK42" s="741" t="s">
        <v>289</v>
      </c>
      <c r="AL42" s="741"/>
      <c r="AM42" s="741"/>
      <c r="AN42" s="1629"/>
      <c r="AO42" s="235"/>
      <c r="AP42" s="17"/>
      <c r="AR42" s="821" t="s">
        <v>471</v>
      </c>
      <c r="AS42" s="235"/>
      <c r="AT42" s="235"/>
      <c r="AX42" s="235"/>
    </row>
    <row r="43" spans="1:50" s="9" customFormat="1" ht="31.5" hidden="1">
      <c r="A43" s="631" t="s">
        <v>174</v>
      </c>
      <c r="B43" s="631" t="s">
        <v>472</v>
      </c>
      <c r="C43" s="631">
        <v>598</v>
      </c>
      <c r="D43" s="631" t="s">
        <v>473</v>
      </c>
      <c r="E43" s="631" t="s">
        <v>282</v>
      </c>
      <c r="F43" s="631" t="s">
        <v>474</v>
      </c>
      <c r="G43" s="631" t="s">
        <v>441</v>
      </c>
      <c r="H43" s="631">
        <v>9.9699999999999997E-2</v>
      </c>
      <c r="I43" s="631" t="s">
        <v>206</v>
      </c>
      <c r="J43" s="631">
        <v>167</v>
      </c>
      <c r="K43" s="631"/>
      <c r="L43" s="631"/>
      <c r="M43" s="814">
        <v>0</v>
      </c>
      <c r="N43" s="1627"/>
      <c r="O43" s="1627" t="str">
        <f t="shared" si="9"/>
        <v>ReH 2.995/2021</v>
      </c>
      <c r="P43" s="814">
        <v>0.4078</v>
      </c>
      <c r="Q43" s="1627">
        <v>48668444.767228298</v>
      </c>
      <c r="R43" s="1630">
        <v>44531</v>
      </c>
      <c r="S43" s="1627" t="str">
        <f t="shared" si="10"/>
        <v>Desp. 521/2022</v>
      </c>
      <c r="T43" s="631" t="s">
        <v>475</v>
      </c>
      <c r="U43" s="741" t="s">
        <v>459</v>
      </c>
      <c r="V43" s="631">
        <v>2022</v>
      </c>
      <c r="W43" s="1632">
        <v>2917</v>
      </c>
      <c r="X43" s="1633" t="s">
        <v>2196</v>
      </c>
      <c r="Y43" s="631"/>
      <c r="AA43" s="819" t="s">
        <v>206</v>
      </c>
      <c r="AB43" s="817">
        <v>20.55</v>
      </c>
      <c r="AC43" s="822">
        <v>108.15</v>
      </c>
      <c r="AD43" s="822">
        <v>16127887.460000001</v>
      </c>
      <c r="AE43" s="741">
        <v>43270</v>
      </c>
      <c r="AF43" s="741">
        <v>43270</v>
      </c>
      <c r="AG43" s="817">
        <v>0</v>
      </c>
      <c r="AH43" s="631"/>
      <c r="AI43" s="741">
        <v>41365</v>
      </c>
      <c r="AJ43" s="741">
        <v>42551</v>
      </c>
      <c r="AK43" s="741" t="s">
        <v>289</v>
      </c>
      <c r="AL43" s="741"/>
      <c r="AM43" s="741"/>
      <c r="AN43" s="1629">
        <v>3110206.14</v>
      </c>
      <c r="AO43" s="235"/>
      <c r="AP43" s="17"/>
      <c r="AR43" s="821" t="s">
        <v>406</v>
      </c>
      <c r="AS43" s="235"/>
      <c r="AT43" s="235"/>
      <c r="AX43" s="235"/>
    </row>
    <row r="44" spans="1:50" s="9" customFormat="1" ht="31.5" hidden="1">
      <c r="A44" s="631" t="s">
        <v>476</v>
      </c>
      <c r="B44" s="631" t="s">
        <v>477</v>
      </c>
      <c r="C44" s="631">
        <v>2783</v>
      </c>
      <c r="D44" s="631" t="s">
        <v>478</v>
      </c>
      <c r="E44" s="631" t="s">
        <v>282</v>
      </c>
      <c r="F44" s="631" t="s">
        <v>479</v>
      </c>
      <c r="G44" s="631" t="s">
        <v>441</v>
      </c>
      <c r="H44" s="631">
        <v>9.9699999999999997E-2</v>
      </c>
      <c r="I44" s="631" t="s">
        <v>206</v>
      </c>
      <c r="J44" s="631">
        <v>167</v>
      </c>
      <c r="K44" s="631"/>
      <c r="L44" s="631"/>
      <c r="M44" s="814">
        <v>0</v>
      </c>
      <c r="N44" s="1627"/>
      <c r="O44" s="1627" t="str">
        <f t="shared" si="9"/>
        <v>ReH 2.995/2021</v>
      </c>
      <c r="P44" s="814">
        <v>0.17430000000000001</v>
      </c>
      <c r="Q44" s="1627">
        <v>23632870.756335247</v>
      </c>
      <c r="R44" s="1630">
        <v>44531</v>
      </c>
      <c r="S44" s="1627" t="str">
        <f t="shared" si="10"/>
        <v>Desp. 521/2022</v>
      </c>
      <c r="T44" s="631" t="s">
        <v>480</v>
      </c>
      <c r="U44" s="741" t="s">
        <v>459</v>
      </c>
      <c r="V44" s="631">
        <v>2022</v>
      </c>
      <c r="W44" s="1632">
        <v>2911</v>
      </c>
      <c r="X44" s="1633" t="s">
        <v>2196</v>
      </c>
      <c r="Y44" s="631"/>
      <c r="AA44" s="819" t="s">
        <v>206</v>
      </c>
      <c r="AB44" s="817">
        <v>26.42</v>
      </c>
      <c r="AC44" s="822">
        <v>108.15</v>
      </c>
      <c r="AD44" s="822">
        <v>7627285.8200000003</v>
      </c>
      <c r="AE44" s="741">
        <v>43270</v>
      </c>
      <c r="AF44" s="741">
        <v>43270</v>
      </c>
      <c r="AG44" s="817">
        <v>0</v>
      </c>
      <c r="AH44" s="631"/>
      <c r="AI44" s="741">
        <v>41365</v>
      </c>
      <c r="AJ44" s="741">
        <v>42551</v>
      </c>
      <c r="AK44" s="741" t="s">
        <v>289</v>
      </c>
      <c r="AL44" s="741"/>
      <c r="AM44" s="741"/>
      <c r="AN44" s="1629"/>
      <c r="AO44" s="235"/>
      <c r="AP44" s="17"/>
      <c r="AR44" s="821" t="s">
        <v>449</v>
      </c>
      <c r="AS44" s="235"/>
      <c r="AT44" s="235"/>
      <c r="AX44" s="235"/>
    </row>
    <row r="45" spans="1:50" s="9" customFormat="1" ht="31.5" hidden="1">
      <c r="A45" s="631" t="s">
        <v>356</v>
      </c>
      <c r="B45" s="631" t="s">
        <v>481</v>
      </c>
      <c r="C45" s="631">
        <v>4248</v>
      </c>
      <c r="D45" s="631" t="s">
        <v>482</v>
      </c>
      <c r="E45" s="631" t="s">
        <v>282</v>
      </c>
      <c r="F45" s="631" t="s">
        <v>483</v>
      </c>
      <c r="G45" s="631" t="s">
        <v>484</v>
      </c>
      <c r="H45" s="631">
        <v>9.9699999999999997E-2</v>
      </c>
      <c r="I45" s="631" t="s">
        <v>485</v>
      </c>
      <c r="J45" s="631">
        <v>132</v>
      </c>
      <c r="K45" s="631"/>
      <c r="L45" s="631"/>
      <c r="M45" s="814">
        <v>0</v>
      </c>
      <c r="N45" s="1627"/>
      <c r="O45" s="1627" t="str">
        <f t="shared" si="9"/>
        <v>ReH 2.995/2021</v>
      </c>
      <c r="P45" s="814">
        <v>0.2072</v>
      </c>
      <c r="Q45" s="1627">
        <v>5741724.6974191396</v>
      </c>
      <c r="R45" s="1630">
        <v>44531</v>
      </c>
      <c r="S45" s="1627" t="str">
        <f t="shared" si="10"/>
        <v>Desp. 521/2022</v>
      </c>
      <c r="T45" s="631" t="s">
        <v>486</v>
      </c>
      <c r="U45" s="741" t="s">
        <v>349</v>
      </c>
      <c r="V45" s="1631">
        <v>2024</v>
      </c>
      <c r="W45" s="1632">
        <v>2908</v>
      </c>
      <c r="X45" s="1633" t="s">
        <v>2196</v>
      </c>
      <c r="Y45" s="631"/>
      <c r="AA45" s="819" t="s">
        <v>485</v>
      </c>
      <c r="AB45" s="817">
        <v>58.392923981821539</v>
      </c>
      <c r="AC45" s="822">
        <v>117.43916412021785</v>
      </c>
      <c r="AD45" s="822">
        <v>1371216.9263933776</v>
      </c>
      <c r="AE45" s="741">
        <v>44371</v>
      </c>
      <c r="AF45" s="741">
        <v>44371</v>
      </c>
      <c r="AG45" s="817">
        <v>0</v>
      </c>
      <c r="AH45" s="631"/>
      <c r="AI45" s="741">
        <v>41472</v>
      </c>
      <c r="AJ45" s="741">
        <v>42551</v>
      </c>
      <c r="AK45" s="741" t="s">
        <v>289</v>
      </c>
      <c r="AL45" s="741"/>
      <c r="AM45" s="741"/>
      <c r="AN45" s="1629"/>
      <c r="AO45" s="235"/>
      <c r="AP45" s="17"/>
      <c r="AR45" s="821" t="s">
        <v>201</v>
      </c>
      <c r="AS45" s="235"/>
      <c r="AT45" s="235"/>
      <c r="AX45" s="235"/>
    </row>
    <row r="46" spans="1:50" s="9" customFormat="1" ht="31.5" hidden="1">
      <c r="A46" s="631" t="s">
        <v>182</v>
      </c>
      <c r="B46" s="631" t="s">
        <v>487</v>
      </c>
      <c r="C46" s="631">
        <v>5274</v>
      </c>
      <c r="D46" s="631" t="s">
        <v>488</v>
      </c>
      <c r="E46" s="631" t="s">
        <v>282</v>
      </c>
      <c r="F46" s="631" t="s">
        <v>489</v>
      </c>
      <c r="G46" s="631" t="s">
        <v>490</v>
      </c>
      <c r="H46" s="631">
        <v>9.9699999999999997E-2</v>
      </c>
      <c r="I46" s="631" t="s">
        <v>163</v>
      </c>
      <c r="J46" s="631">
        <v>103</v>
      </c>
      <c r="K46" s="631"/>
      <c r="L46" s="631"/>
      <c r="M46" s="814">
        <v>0.128</v>
      </c>
      <c r="N46" s="1627"/>
      <c r="O46" s="1627" t="str">
        <f t="shared" si="9"/>
        <v>ReH 2.995/2021</v>
      </c>
      <c r="P46" s="814">
        <v>7.9699999999999993E-2</v>
      </c>
      <c r="Q46" s="1628">
        <v>9559924.0871568415</v>
      </c>
      <c r="R46" s="1630">
        <v>44531</v>
      </c>
      <c r="S46" s="1627" t="str">
        <f t="shared" si="10"/>
        <v>Desp. 521/2022</v>
      </c>
      <c r="T46" s="631" t="s">
        <v>492</v>
      </c>
      <c r="U46" s="741" t="s">
        <v>287</v>
      </c>
      <c r="V46" s="1631">
        <v>2024</v>
      </c>
      <c r="W46" s="1632">
        <v>2865</v>
      </c>
      <c r="X46" s="1633" t="s">
        <v>2197</v>
      </c>
      <c r="Y46" s="631"/>
      <c r="AA46" s="819" t="s">
        <v>506</v>
      </c>
      <c r="AB46" s="817">
        <v>49.06</v>
      </c>
      <c r="AC46" s="822">
        <v>187.05</v>
      </c>
      <c r="AD46" s="822">
        <v>95315.39</v>
      </c>
      <c r="AE46" s="741">
        <v>43174</v>
      </c>
      <c r="AF46" s="741">
        <v>43174</v>
      </c>
      <c r="AG46" s="817">
        <v>0</v>
      </c>
      <c r="AH46" s="631"/>
      <c r="AI46" s="741">
        <v>41472</v>
      </c>
      <c r="AJ46" s="741">
        <v>42451</v>
      </c>
      <c r="AK46" s="741" t="s">
        <v>289</v>
      </c>
      <c r="AL46" s="741"/>
      <c r="AM46" s="741"/>
      <c r="AN46" s="1629">
        <v>940401.96</v>
      </c>
      <c r="AO46" s="235"/>
      <c r="AP46" s="17"/>
      <c r="AR46" s="821" t="s">
        <v>493</v>
      </c>
      <c r="AS46" s="235"/>
      <c r="AT46" s="235"/>
      <c r="AX46" s="235"/>
    </row>
    <row r="47" spans="1:50" s="9" customFormat="1" ht="31.5">
      <c r="A47" s="631" t="s">
        <v>371</v>
      </c>
      <c r="B47" s="631" t="s">
        <v>494</v>
      </c>
      <c r="C47" s="631">
        <v>5377</v>
      </c>
      <c r="D47" s="631" t="s">
        <v>495</v>
      </c>
      <c r="E47" s="631" t="s">
        <v>282</v>
      </c>
      <c r="F47" s="631" t="s">
        <v>496</v>
      </c>
      <c r="G47" s="631" t="s">
        <v>497</v>
      </c>
      <c r="H47" s="631">
        <v>3.7699999999999997E-2</v>
      </c>
      <c r="I47" s="631" t="s">
        <v>498</v>
      </c>
      <c r="J47" s="631">
        <v>155</v>
      </c>
      <c r="K47" s="631"/>
      <c r="L47" s="631"/>
      <c r="M47" s="814">
        <v>0</v>
      </c>
      <c r="N47" s="1627"/>
      <c r="O47" s="1627" t="str">
        <f t="shared" si="9"/>
        <v>ReH 2.995/2021</v>
      </c>
      <c r="P47" s="814">
        <v>6.2799999999999995E-2</v>
      </c>
      <c r="Q47" s="1627">
        <v>5170019.3743311316</v>
      </c>
      <c r="R47" s="1630">
        <v>44531</v>
      </c>
      <c r="S47" s="1627" t="str">
        <f t="shared" si="10"/>
        <v>Desp. 521/2022</v>
      </c>
      <c r="T47" s="631" t="s">
        <v>499</v>
      </c>
      <c r="U47" s="741" t="s">
        <v>500</v>
      </c>
      <c r="V47" s="1631">
        <v>2024</v>
      </c>
      <c r="W47" s="1632">
        <v>2872</v>
      </c>
      <c r="X47" s="1633" t="s">
        <v>2195</v>
      </c>
      <c r="Y47" s="818">
        <v>1.15E-2</v>
      </c>
      <c r="Z47" s="819">
        <v>-0.02</v>
      </c>
      <c r="AA47" s="819" t="s">
        <v>194</v>
      </c>
      <c r="AB47" s="817">
        <v>43</v>
      </c>
      <c r="AC47" s="822">
        <v>122.01</v>
      </c>
      <c r="AD47" s="822">
        <v>807332.96</v>
      </c>
      <c r="AE47" s="741">
        <v>43212</v>
      </c>
      <c r="AF47" s="741">
        <v>43212</v>
      </c>
      <c r="AG47" s="817">
        <v>0</v>
      </c>
      <c r="AH47" s="631"/>
      <c r="AI47" s="741">
        <v>41472</v>
      </c>
      <c r="AJ47" s="741">
        <v>42489</v>
      </c>
      <c r="AK47" s="741" t="s">
        <v>289</v>
      </c>
      <c r="AL47" s="741"/>
      <c r="AM47" s="741"/>
      <c r="AN47" s="1629"/>
      <c r="AO47" s="235"/>
      <c r="AP47" s="17"/>
      <c r="AR47" s="821" t="s">
        <v>411</v>
      </c>
      <c r="AS47" s="235"/>
      <c r="AT47" s="235"/>
      <c r="AX47" s="235"/>
    </row>
    <row r="48" spans="1:50" s="9" customFormat="1" ht="31.5" hidden="1">
      <c r="A48" s="631" t="s">
        <v>366</v>
      </c>
      <c r="B48" s="631" t="s">
        <v>501</v>
      </c>
      <c r="C48" s="631">
        <v>5279</v>
      </c>
      <c r="D48" s="631" t="s">
        <v>502</v>
      </c>
      <c r="E48" s="631" t="s">
        <v>282</v>
      </c>
      <c r="F48" s="631" t="s">
        <v>503</v>
      </c>
      <c r="G48" s="631" t="s">
        <v>490</v>
      </c>
      <c r="H48" s="631">
        <v>9.9699999999999997E-2</v>
      </c>
      <c r="I48" s="631" t="s">
        <v>163</v>
      </c>
      <c r="J48" s="631">
        <v>103</v>
      </c>
      <c r="K48" s="631"/>
      <c r="L48" s="631"/>
      <c r="M48" s="814">
        <v>0.1166</v>
      </c>
      <c r="N48" s="1627"/>
      <c r="O48" s="1627" t="str">
        <f t="shared" si="9"/>
        <v>ReH 2.995/2021</v>
      </c>
      <c r="P48" s="818">
        <v>0.4052</v>
      </c>
      <c r="Q48" s="1627">
        <v>25601019.68723011</v>
      </c>
      <c r="R48" s="1630">
        <v>44531</v>
      </c>
      <c r="S48" s="1627" t="str">
        <f t="shared" si="10"/>
        <v>Desp. 521/2022</v>
      </c>
      <c r="T48" s="740" t="s">
        <v>504</v>
      </c>
      <c r="U48" s="741" t="s">
        <v>505</v>
      </c>
      <c r="V48" s="631">
        <v>2022</v>
      </c>
      <c r="W48" s="1632">
        <v>2866</v>
      </c>
      <c r="X48" s="1633" t="s">
        <v>2197</v>
      </c>
      <c r="Y48" s="818"/>
      <c r="AA48" s="819" t="s">
        <v>506</v>
      </c>
      <c r="AB48" s="823">
        <v>29.23</v>
      </c>
      <c r="AC48" s="822">
        <v>183.67</v>
      </c>
      <c r="AD48" s="822">
        <v>3906806.73</v>
      </c>
      <c r="AE48" s="741">
        <v>42809</v>
      </c>
      <c r="AF48" s="741">
        <v>42809</v>
      </c>
      <c r="AG48" s="741" t="s">
        <v>507</v>
      </c>
      <c r="AH48" s="631"/>
      <c r="AI48" s="741"/>
      <c r="AJ48" s="741"/>
      <c r="AK48" s="741" t="s">
        <v>508</v>
      </c>
      <c r="AL48" s="741">
        <v>43374</v>
      </c>
      <c r="AM48" s="818">
        <v>0.2465</v>
      </c>
      <c r="AN48" s="1629">
        <v>939575.3</v>
      </c>
      <c r="AO48" s="235"/>
      <c r="AP48" s="17"/>
      <c r="AR48" s="821" t="s">
        <v>509</v>
      </c>
      <c r="AS48" s="235"/>
      <c r="AT48" s="235"/>
      <c r="AX48" s="235"/>
    </row>
    <row r="49" spans="1:50" s="9" customFormat="1" ht="31.5" hidden="1">
      <c r="A49" s="631" t="s">
        <v>196</v>
      </c>
      <c r="B49" s="631" t="s">
        <v>510</v>
      </c>
      <c r="C49" s="631">
        <v>6603</v>
      </c>
      <c r="D49" s="631" t="s">
        <v>511</v>
      </c>
      <c r="E49" s="631" t="s">
        <v>282</v>
      </c>
      <c r="F49" s="631" t="s">
        <v>512</v>
      </c>
      <c r="G49" s="631" t="s">
        <v>490</v>
      </c>
      <c r="H49" s="631">
        <v>9.9699999999999997E-2</v>
      </c>
      <c r="I49" s="631" t="s">
        <v>163</v>
      </c>
      <c r="J49" s="631">
        <v>103</v>
      </c>
      <c r="K49" s="631"/>
      <c r="L49" s="631"/>
      <c r="M49" s="814">
        <v>0</v>
      </c>
      <c r="N49" s="1627"/>
      <c r="O49" s="1627" t="str">
        <f t="shared" si="9"/>
        <v>ReH 2.995/2021</v>
      </c>
      <c r="P49" s="818">
        <v>0.4052</v>
      </c>
      <c r="Q49" s="1627">
        <v>10809195.059114244</v>
      </c>
      <c r="R49" s="1630">
        <v>44531</v>
      </c>
      <c r="S49" s="1627" t="str">
        <f t="shared" si="10"/>
        <v>Desp. 521/2022</v>
      </c>
      <c r="T49" s="740" t="s">
        <v>513</v>
      </c>
      <c r="U49" s="741" t="s">
        <v>514</v>
      </c>
      <c r="V49" s="631">
        <v>2022</v>
      </c>
      <c r="W49" s="1632">
        <v>2867</v>
      </c>
      <c r="X49" s="1633" t="s">
        <v>2197</v>
      </c>
      <c r="Y49" s="818"/>
      <c r="AA49" s="819" t="s">
        <v>506</v>
      </c>
      <c r="AB49" s="823">
        <v>30.78</v>
      </c>
      <c r="AC49" s="822">
        <v>183.67</v>
      </c>
      <c r="AD49" s="822">
        <v>1224360.38437886</v>
      </c>
      <c r="AE49" s="741">
        <v>42809</v>
      </c>
      <c r="AF49" s="741">
        <v>42809</v>
      </c>
      <c r="AG49" s="741" t="s">
        <v>507</v>
      </c>
      <c r="AH49" s="631"/>
      <c r="AI49" s="741"/>
      <c r="AJ49" s="741"/>
      <c r="AK49" s="741" t="s">
        <v>508</v>
      </c>
      <c r="AL49" s="741">
        <v>43405</v>
      </c>
      <c r="AM49" s="824">
        <v>0</v>
      </c>
      <c r="AN49" s="1629">
        <v>234949.9</v>
      </c>
      <c r="AO49" s="235"/>
      <c r="AP49" s="17"/>
      <c r="AR49" s="821" t="s">
        <v>339</v>
      </c>
      <c r="AS49" s="235"/>
      <c r="AT49" s="235"/>
      <c r="AX49" s="235"/>
    </row>
    <row r="50" spans="1:50" s="9" customFormat="1" ht="31.5" hidden="1">
      <c r="A50" s="631" t="s">
        <v>389</v>
      </c>
      <c r="B50" s="631" t="s">
        <v>515</v>
      </c>
      <c r="C50" s="631">
        <v>504</v>
      </c>
      <c r="D50" s="631" t="s">
        <v>516</v>
      </c>
      <c r="E50" s="631" t="s">
        <v>282</v>
      </c>
      <c r="F50" s="631" t="s">
        <v>517</v>
      </c>
      <c r="G50" s="631" t="s">
        <v>441</v>
      </c>
      <c r="H50" s="631">
        <v>9.9699999999999997E-2</v>
      </c>
      <c r="I50" s="631" t="s">
        <v>206</v>
      </c>
      <c r="J50" s="631">
        <v>167</v>
      </c>
      <c r="K50" s="631"/>
      <c r="L50" s="631"/>
      <c r="M50" s="814">
        <v>0</v>
      </c>
      <c r="N50" s="1627"/>
      <c r="O50" s="1627" t="str">
        <f t="shared" si="9"/>
        <v>ReH 2.995/2021</v>
      </c>
      <c r="P50" s="818">
        <v>0.36820000000000003</v>
      </c>
      <c r="Q50" s="1627">
        <v>34114621.739632338</v>
      </c>
      <c r="R50" s="1630">
        <v>44531</v>
      </c>
      <c r="S50" s="1627" t="str">
        <f t="shared" si="10"/>
        <v>Desp. 521/2022</v>
      </c>
      <c r="T50" s="740" t="s">
        <v>518</v>
      </c>
      <c r="U50" s="741" t="s">
        <v>519</v>
      </c>
      <c r="V50" s="631">
        <v>2022</v>
      </c>
      <c r="W50" s="1632">
        <v>2906</v>
      </c>
      <c r="X50" s="1633" t="s">
        <v>2196</v>
      </c>
      <c r="Y50" s="818"/>
      <c r="AA50" s="819" t="s">
        <v>206</v>
      </c>
      <c r="AB50" s="823">
        <v>13.9</v>
      </c>
      <c r="AC50" s="822">
        <v>108.15</v>
      </c>
      <c r="AD50" s="822">
        <v>16697250.359999999</v>
      </c>
      <c r="AE50" s="741">
        <v>43270</v>
      </c>
      <c r="AF50" s="741">
        <v>43270</v>
      </c>
      <c r="AG50" s="741" t="s">
        <v>507</v>
      </c>
      <c r="AH50" s="631"/>
      <c r="AI50" s="741"/>
      <c r="AJ50" s="741"/>
      <c r="AK50" s="741" t="s">
        <v>508</v>
      </c>
      <c r="AL50" s="741">
        <v>43405</v>
      </c>
      <c r="AM50" s="741"/>
      <c r="AN50" s="1629"/>
      <c r="AO50" s="235"/>
      <c r="AP50" s="17"/>
      <c r="AR50" s="821" t="s">
        <v>520</v>
      </c>
      <c r="AS50" s="235"/>
      <c r="AT50" s="235"/>
      <c r="AX50" s="235"/>
    </row>
    <row r="51" spans="1:50" s="9" customFormat="1" ht="31.5" hidden="1">
      <c r="A51" s="631" t="s">
        <v>493</v>
      </c>
      <c r="B51" s="631" t="s">
        <v>521</v>
      </c>
      <c r="C51" s="631">
        <v>527</v>
      </c>
      <c r="D51" s="631" t="s">
        <v>522</v>
      </c>
      <c r="E51" s="631" t="s">
        <v>282</v>
      </c>
      <c r="F51" s="631" t="s">
        <v>523</v>
      </c>
      <c r="G51" s="631" t="s">
        <v>441</v>
      </c>
      <c r="H51" s="631">
        <v>3.7699999999999997E-2</v>
      </c>
      <c r="I51" s="631" t="s">
        <v>206</v>
      </c>
      <c r="J51" s="631">
        <v>167</v>
      </c>
      <c r="K51" s="631"/>
      <c r="L51" s="631"/>
      <c r="M51" s="814">
        <v>0</v>
      </c>
      <c r="N51" s="1627"/>
      <c r="O51" s="1627" t="str">
        <f t="shared" si="9"/>
        <v>ReH 2.995/2021</v>
      </c>
      <c r="P51" s="818">
        <v>0.36820000000000003</v>
      </c>
      <c r="Q51" s="1627">
        <v>19676334.273381419</v>
      </c>
      <c r="R51" s="1630">
        <v>44531</v>
      </c>
      <c r="S51" s="1627" t="str">
        <f t="shared" si="10"/>
        <v>Desp. 521/2022</v>
      </c>
      <c r="T51" s="740" t="s">
        <v>524</v>
      </c>
      <c r="U51" s="741" t="s">
        <v>525</v>
      </c>
      <c r="V51" s="631">
        <v>2022</v>
      </c>
      <c r="W51" s="1632">
        <v>2907</v>
      </c>
      <c r="X51" s="1633" t="s">
        <v>2196</v>
      </c>
      <c r="Y51" s="818"/>
      <c r="AA51" s="819" t="s">
        <v>206</v>
      </c>
      <c r="AB51" s="823">
        <v>17.5</v>
      </c>
      <c r="AC51" s="822">
        <v>108.15</v>
      </c>
      <c r="AD51" s="822">
        <v>8473358.1899999995</v>
      </c>
      <c r="AE51" s="741">
        <v>43270</v>
      </c>
      <c r="AF51" s="741">
        <v>43270</v>
      </c>
      <c r="AG51" s="741" t="s">
        <v>507</v>
      </c>
      <c r="AH51" s="631"/>
      <c r="AI51" s="741"/>
      <c r="AJ51" s="741"/>
      <c r="AK51" s="741" t="s">
        <v>508</v>
      </c>
      <c r="AL51" s="741">
        <v>43405</v>
      </c>
      <c r="AM51" s="741"/>
      <c r="AN51" s="1629"/>
      <c r="AO51" s="235"/>
      <c r="AP51" s="17"/>
      <c r="AR51" s="821" t="s">
        <v>188</v>
      </c>
      <c r="AS51" s="235"/>
      <c r="AT51" s="235"/>
      <c r="AX51" s="235"/>
    </row>
    <row r="52" spans="1:50" s="9" customFormat="1" ht="31.5" hidden="1">
      <c r="A52" s="631" t="s">
        <v>290</v>
      </c>
      <c r="B52" s="631" t="s">
        <v>526</v>
      </c>
      <c r="C52" s="631">
        <v>11825</v>
      </c>
      <c r="D52" s="631" t="s">
        <v>527</v>
      </c>
      <c r="E52" s="631" t="s">
        <v>282</v>
      </c>
      <c r="F52" s="631" t="s">
        <v>528</v>
      </c>
      <c r="G52" s="631" t="s">
        <v>484</v>
      </c>
      <c r="H52" s="631">
        <v>9.9699999999999997E-2</v>
      </c>
      <c r="I52" s="631" t="s">
        <v>529</v>
      </c>
      <c r="J52" s="631">
        <v>132</v>
      </c>
      <c r="K52" s="631"/>
      <c r="L52" s="631"/>
      <c r="M52" s="816">
        <v>0</v>
      </c>
      <c r="N52" s="1627"/>
      <c r="O52" s="1627" t="str">
        <f t="shared" si="9"/>
        <v>ReH 2.995/2021</v>
      </c>
      <c r="P52" s="818">
        <v>0.30030000000000001</v>
      </c>
      <c r="Q52" s="1627">
        <v>3990174.7268110593</v>
      </c>
      <c r="R52" s="1630">
        <v>44531</v>
      </c>
      <c r="S52" s="1627" t="str">
        <f t="shared" si="10"/>
        <v>Desp. 521/2022</v>
      </c>
      <c r="T52" s="740" t="s">
        <v>530</v>
      </c>
      <c r="U52" s="741" t="s">
        <v>531</v>
      </c>
      <c r="V52" s="631">
        <v>2022</v>
      </c>
      <c r="W52" s="1632">
        <v>2905</v>
      </c>
      <c r="X52" s="1633" t="s">
        <v>2196</v>
      </c>
      <c r="Y52" s="818"/>
      <c r="AA52" s="819" t="s">
        <v>485</v>
      </c>
      <c r="AB52" s="823">
        <v>108.32837360722637</v>
      </c>
      <c r="AC52" s="822">
        <v>117.43916412021785</v>
      </c>
      <c r="AD52" s="822">
        <v>0</v>
      </c>
      <c r="AE52" s="741">
        <v>44371</v>
      </c>
      <c r="AF52" s="741">
        <v>44371</v>
      </c>
      <c r="AG52" s="741" t="s">
        <v>507</v>
      </c>
      <c r="AH52" s="631"/>
      <c r="AI52" s="741"/>
      <c r="AJ52" s="741"/>
      <c r="AK52" s="741" t="s">
        <v>508</v>
      </c>
      <c r="AL52" s="741">
        <v>43405</v>
      </c>
      <c r="AM52" s="741"/>
      <c r="AN52" s="1629"/>
      <c r="AO52" s="235"/>
      <c r="AP52" s="17"/>
      <c r="AR52" s="821" t="s">
        <v>420</v>
      </c>
      <c r="AS52" s="235"/>
      <c r="AT52" s="235"/>
      <c r="AX52" s="235"/>
    </row>
    <row r="53" spans="1:50" s="9" customFormat="1" ht="31.5" hidden="1">
      <c r="A53" s="631" t="s">
        <v>509</v>
      </c>
      <c r="B53" s="631" t="s">
        <v>532</v>
      </c>
      <c r="C53" s="631">
        <v>5375</v>
      </c>
      <c r="D53" s="631" t="s">
        <v>533</v>
      </c>
      <c r="E53" s="631" t="s">
        <v>282</v>
      </c>
      <c r="F53" s="631" t="s">
        <v>534</v>
      </c>
      <c r="G53" s="631" t="s">
        <v>284</v>
      </c>
      <c r="H53" s="631">
        <v>9.9699999999999997E-2</v>
      </c>
      <c r="I53" s="631" t="s">
        <v>535</v>
      </c>
      <c r="J53" s="631">
        <v>145</v>
      </c>
      <c r="K53" s="631" t="s">
        <v>536</v>
      </c>
      <c r="L53" s="631">
        <v>136</v>
      </c>
      <c r="M53" s="816">
        <v>0</v>
      </c>
      <c r="N53" s="1627"/>
      <c r="O53" s="1627" t="str">
        <f t="shared" si="9"/>
        <v>ReH 2.995/2021</v>
      </c>
      <c r="P53" s="818">
        <v>0.26960000000000001</v>
      </c>
      <c r="Q53" s="1627">
        <v>9179104.7891964447</v>
      </c>
      <c r="R53" s="1630">
        <v>44531</v>
      </c>
      <c r="S53" s="1627" t="str">
        <f t="shared" si="10"/>
        <v>Desp. 521/2022</v>
      </c>
      <c r="T53" s="740" t="s">
        <v>537</v>
      </c>
      <c r="U53" s="741" t="s">
        <v>538</v>
      </c>
      <c r="V53" s="631">
        <v>2022</v>
      </c>
      <c r="W53" s="1632">
        <v>2945</v>
      </c>
      <c r="X53" s="1633" t="s">
        <v>2198</v>
      </c>
      <c r="Y53" s="818"/>
      <c r="AA53" s="819" t="s">
        <v>535</v>
      </c>
      <c r="AB53" s="823">
        <v>56.75</v>
      </c>
      <c r="AC53" s="822">
        <v>133.91999999999999</v>
      </c>
      <c r="AD53" s="822">
        <v>1818143.6</v>
      </c>
      <c r="AE53" s="741">
        <v>43678</v>
      </c>
      <c r="AF53" s="741">
        <v>43678</v>
      </c>
      <c r="AG53" s="741" t="s">
        <v>507</v>
      </c>
      <c r="AH53" s="631"/>
      <c r="AI53" s="741"/>
      <c r="AJ53" s="741"/>
      <c r="AK53" s="741" t="s">
        <v>508</v>
      </c>
      <c r="AL53" s="741">
        <v>43466</v>
      </c>
      <c r="AM53" s="741"/>
      <c r="AN53" s="1629"/>
      <c r="AO53" s="235"/>
      <c r="AP53" s="17"/>
      <c r="AR53" s="821" t="s">
        <v>460</v>
      </c>
      <c r="AS53" s="235"/>
      <c r="AT53" s="235"/>
      <c r="AX53" s="235"/>
    </row>
    <row r="54" spans="1:50" s="9" customFormat="1" ht="31.5" hidden="1">
      <c r="A54" s="631" t="s">
        <v>186</v>
      </c>
      <c r="B54" s="631" t="s">
        <v>539</v>
      </c>
      <c r="C54" s="631">
        <v>5356</v>
      </c>
      <c r="D54" s="631" t="s">
        <v>540</v>
      </c>
      <c r="E54" s="631" t="s">
        <v>282</v>
      </c>
      <c r="F54" s="631" t="s">
        <v>541</v>
      </c>
      <c r="G54" s="631" t="s">
        <v>347</v>
      </c>
      <c r="H54" s="631">
        <v>9.9699999999999997E-2</v>
      </c>
      <c r="I54" s="631" t="s">
        <v>542</v>
      </c>
      <c r="J54" s="631">
        <v>111</v>
      </c>
      <c r="K54" s="631"/>
      <c r="L54" s="631"/>
      <c r="M54" s="816">
        <v>0</v>
      </c>
      <c r="N54" s="1627"/>
      <c r="O54" s="1627" t="str">
        <f t="shared" si="9"/>
        <v>ReH 2.995/2021</v>
      </c>
      <c r="P54" s="818">
        <v>0.26719999999999999</v>
      </c>
      <c r="Q54" s="1627">
        <v>12311896.529185077</v>
      </c>
      <c r="R54" s="1630">
        <v>44531</v>
      </c>
      <c r="S54" s="1627" t="str">
        <f t="shared" si="10"/>
        <v>Desp. 521/2022</v>
      </c>
      <c r="T54" s="740" t="s">
        <v>543</v>
      </c>
      <c r="U54" s="741" t="s">
        <v>544</v>
      </c>
      <c r="V54" s="631">
        <v>2022</v>
      </c>
      <c r="W54" s="1632">
        <v>2938</v>
      </c>
      <c r="X54" s="1633" t="s">
        <v>2198</v>
      </c>
      <c r="Y54" s="818"/>
      <c r="AA54" s="819" t="s">
        <v>542</v>
      </c>
      <c r="AB54" s="823">
        <v>349.3569320960537</v>
      </c>
      <c r="AC54" s="822">
        <v>180.36</v>
      </c>
      <c r="AD54" s="822">
        <v>0</v>
      </c>
      <c r="AE54" s="741">
        <v>44430</v>
      </c>
      <c r="AF54" s="741">
        <v>44430</v>
      </c>
      <c r="AG54" s="741" t="s">
        <v>507</v>
      </c>
      <c r="AH54" s="631"/>
      <c r="AI54" s="741"/>
      <c r="AJ54" s="741"/>
      <c r="AK54" s="741" t="s">
        <v>508</v>
      </c>
      <c r="AL54" s="741">
        <v>43435</v>
      </c>
      <c r="AM54" s="741"/>
      <c r="AN54" s="1629"/>
      <c r="AO54" s="235"/>
      <c r="AP54" s="17"/>
      <c r="AR54" s="821" t="s">
        <v>427</v>
      </c>
      <c r="AS54" s="235"/>
      <c r="AT54" s="235"/>
      <c r="AX54" s="235"/>
    </row>
    <row r="55" spans="1:50" s="9" customFormat="1" ht="31.5" hidden="1">
      <c r="A55" s="631" t="s">
        <v>471</v>
      </c>
      <c r="B55" s="631" t="s">
        <v>545</v>
      </c>
      <c r="C55" s="631">
        <v>7883</v>
      </c>
      <c r="D55" s="631" t="s">
        <v>546</v>
      </c>
      <c r="E55" s="631" t="s">
        <v>282</v>
      </c>
      <c r="F55" s="631" t="s">
        <v>547</v>
      </c>
      <c r="G55" s="631" t="s">
        <v>347</v>
      </c>
      <c r="H55" s="631">
        <v>9.9699999999999997E-2</v>
      </c>
      <c r="I55" s="631" t="s">
        <v>542</v>
      </c>
      <c r="J55" s="631">
        <v>111</v>
      </c>
      <c r="K55" s="631"/>
      <c r="L55" s="631"/>
      <c r="M55" s="816">
        <v>0</v>
      </c>
      <c r="N55" s="1627"/>
      <c r="O55" s="1627" t="str">
        <f t="shared" si="9"/>
        <v>ReH 2.995/2021</v>
      </c>
      <c r="P55" s="818">
        <v>0.26719999999999999</v>
      </c>
      <c r="Q55" s="1627">
        <v>2747645.1312338929</v>
      </c>
      <c r="R55" s="1630">
        <v>44531</v>
      </c>
      <c r="S55" s="1627" t="str">
        <f t="shared" si="10"/>
        <v>Desp. 521/2022</v>
      </c>
      <c r="T55" s="740" t="s">
        <v>548</v>
      </c>
      <c r="U55" s="741" t="s">
        <v>549</v>
      </c>
      <c r="V55" s="631">
        <v>2022</v>
      </c>
      <c r="W55" s="1632">
        <v>2952</v>
      </c>
      <c r="X55" s="1633" t="s">
        <v>2198</v>
      </c>
      <c r="Y55" s="818"/>
      <c r="AA55" s="819" t="s">
        <v>542</v>
      </c>
      <c r="AB55" s="823">
        <v>66.75041888804266</v>
      </c>
      <c r="AC55" s="822">
        <v>180.36</v>
      </c>
      <c r="AD55" s="822">
        <v>1128622.9917918474</v>
      </c>
      <c r="AE55" s="741">
        <v>44430</v>
      </c>
      <c r="AF55" s="741">
        <v>44430</v>
      </c>
      <c r="AG55" s="741" t="s">
        <v>507</v>
      </c>
      <c r="AH55" s="631"/>
      <c r="AI55" s="741"/>
      <c r="AJ55" s="741"/>
      <c r="AK55" s="741" t="s">
        <v>508</v>
      </c>
      <c r="AL55" s="741">
        <v>43435</v>
      </c>
      <c r="AM55" s="741"/>
      <c r="AN55" s="1629"/>
      <c r="AO55" s="235"/>
      <c r="AP55" s="17"/>
      <c r="AR55" s="821" t="s">
        <v>11</v>
      </c>
      <c r="AS55" s="235"/>
      <c r="AT55" s="235"/>
      <c r="AX55" s="235"/>
    </row>
    <row r="56" spans="1:50" s="9" customFormat="1" ht="31.5" hidden="1">
      <c r="A56" s="631" t="s">
        <v>520</v>
      </c>
      <c r="B56" s="631" t="s">
        <v>550</v>
      </c>
      <c r="C56" s="631">
        <v>11763</v>
      </c>
      <c r="D56" s="631" t="s">
        <v>551</v>
      </c>
      <c r="E56" s="631" t="s">
        <v>282</v>
      </c>
      <c r="F56" s="631" t="s">
        <v>552</v>
      </c>
      <c r="G56" s="631" t="s">
        <v>347</v>
      </c>
      <c r="H56" s="631">
        <v>9.9699999999999997E-2</v>
      </c>
      <c r="I56" s="631" t="s">
        <v>542</v>
      </c>
      <c r="J56" s="631">
        <v>111</v>
      </c>
      <c r="K56" s="631"/>
      <c r="L56" s="631"/>
      <c r="M56" s="816">
        <v>0</v>
      </c>
      <c r="N56" s="1627"/>
      <c r="O56" s="1627" t="str">
        <f t="shared" si="9"/>
        <v>ReH 2.995/2021</v>
      </c>
      <c r="P56" s="818">
        <v>0.26719999999999999</v>
      </c>
      <c r="Q56" s="1627">
        <v>4273903.2129018996</v>
      </c>
      <c r="R56" s="1630">
        <v>44531</v>
      </c>
      <c r="S56" s="1627" t="str">
        <f t="shared" si="10"/>
        <v>Desp. 521/2022</v>
      </c>
      <c r="T56" s="740" t="s">
        <v>553</v>
      </c>
      <c r="U56" s="741" t="s">
        <v>554</v>
      </c>
      <c r="V56" s="631">
        <v>2022</v>
      </c>
      <c r="W56" s="1632">
        <v>2954</v>
      </c>
      <c r="X56" s="1633" t="s">
        <v>2198</v>
      </c>
      <c r="Y56" s="818"/>
      <c r="AA56" s="819" t="s">
        <v>542</v>
      </c>
      <c r="AB56" s="823">
        <v>340.16724180581309</v>
      </c>
      <c r="AC56" s="822">
        <v>180.36</v>
      </c>
      <c r="AD56" s="822">
        <v>0</v>
      </c>
      <c r="AE56" s="741">
        <v>44430</v>
      </c>
      <c r="AF56" s="741">
        <v>44430</v>
      </c>
      <c r="AG56" s="741" t="s">
        <v>507</v>
      </c>
      <c r="AH56" s="631"/>
      <c r="AI56" s="741"/>
      <c r="AJ56" s="741"/>
      <c r="AK56" s="741" t="s">
        <v>508</v>
      </c>
      <c r="AL56" s="741">
        <v>43466</v>
      </c>
      <c r="AM56" s="741"/>
      <c r="AN56" s="1629"/>
      <c r="AO56" s="235"/>
      <c r="AP56" s="17"/>
      <c r="AR56" s="631" t="s">
        <v>10</v>
      </c>
      <c r="AS56" s="235"/>
      <c r="AT56" s="235"/>
      <c r="AX56" s="235"/>
    </row>
    <row r="57" spans="1:50" s="9" customFormat="1" ht="31.5" hidden="1">
      <c r="A57" s="631" t="s">
        <v>555</v>
      </c>
      <c r="B57" s="631" t="s">
        <v>556</v>
      </c>
      <c r="C57" s="631">
        <v>5374</v>
      </c>
      <c r="D57" s="631" t="s">
        <v>557</v>
      </c>
      <c r="E57" s="631" t="s">
        <v>282</v>
      </c>
      <c r="F57" s="631" t="s">
        <v>558</v>
      </c>
      <c r="G57" s="631" t="s">
        <v>347</v>
      </c>
      <c r="H57" s="631">
        <v>9.9699999999999997E-2</v>
      </c>
      <c r="I57" s="631" t="s">
        <v>542</v>
      </c>
      <c r="J57" s="631">
        <v>111</v>
      </c>
      <c r="K57" s="631"/>
      <c r="L57" s="631"/>
      <c r="M57" s="816">
        <v>0</v>
      </c>
      <c r="N57" s="1627"/>
      <c r="O57" s="1627" t="str">
        <f t="shared" si="9"/>
        <v>ReH 2.995/2021</v>
      </c>
      <c r="P57" s="818">
        <v>0.26719999999999999</v>
      </c>
      <c r="Q57" s="1627">
        <v>14887159.462181535</v>
      </c>
      <c r="R57" s="1630">
        <v>44531</v>
      </c>
      <c r="S57" s="1627" t="str">
        <f t="shared" si="10"/>
        <v>Desp. 521/2022</v>
      </c>
      <c r="T57" s="740" t="s">
        <v>559</v>
      </c>
      <c r="U57" s="741" t="s">
        <v>560</v>
      </c>
      <c r="V57" s="631">
        <v>2022</v>
      </c>
      <c r="W57" s="1632">
        <v>2955</v>
      </c>
      <c r="X57" s="1633" t="s">
        <v>2198</v>
      </c>
      <c r="Y57" s="818"/>
      <c r="AA57" s="819" t="s">
        <v>542</v>
      </c>
      <c r="AB57" s="823">
        <v>42.479589945809131</v>
      </c>
      <c r="AC57" s="822">
        <v>180.36</v>
      </c>
      <c r="AD57" s="822">
        <v>4958818.1676888634</v>
      </c>
      <c r="AE57" s="741">
        <v>44430</v>
      </c>
      <c r="AF57" s="741">
        <v>44430</v>
      </c>
      <c r="AG57" s="741" t="s">
        <v>507</v>
      </c>
      <c r="AH57" s="631"/>
      <c r="AI57" s="741"/>
      <c r="AJ57" s="741"/>
      <c r="AK57" s="741" t="s">
        <v>508</v>
      </c>
      <c r="AL57" s="741">
        <v>43435</v>
      </c>
      <c r="AM57" s="741"/>
      <c r="AN57" s="1629"/>
      <c r="AO57" s="235"/>
      <c r="AP57" s="17"/>
      <c r="AR57" s="908" t="s">
        <v>561</v>
      </c>
      <c r="AS57" s="235"/>
      <c r="AT57" s="235"/>
      <c r="AX57" s="235"/>
    </row>
    <row r="58" spans="1:50" s="9" customFormat="1" ht="31.5" hidden="1">
      <c r="A58" s="631" t="s">
        <v>10</v>
      </c>
      <c r="B58" s="631" t="s">
        <v>562</v>
      </c>
      <c r="C58" s="631">
        <v>5346</v>
      </c>
      <c r="D58" s="631" t="s">
        <v>563</v>
      </c>
      <c r="E58" s="631" t="s">
        <v>282</v>
      </c>
      <c r="F58" s="631" t="s">
        <v>564</v>
      </c>
      <c r="G58" s="631" t="s">
        <v>441</v>
      </c>
      <c r="H58" s="631">
        <v>9.9699999999999997E-2</v>
      </c>
      <c r="I58" s="631" t="s">
        <v>353</v>
      </c>
      <c r="J58" s="631">
        <v>110</v>
      </c>
      <c r="K58" s="631"/>
      <c r="L58" s="631"/>
      <c r="M58" s="816">
        <v>0</v>
      </c>
      <c r="N58" s="1627"/>
      <c r="O58" s="1627" t="str">
        <f t="shared" si="9"/>
        <v>ReH 2.995/2021</v>
      </c>
      <c r="P58" s="818">
        <v>0.29220000000000002</v>
      </c>
      <c r="Q58" s="1627">
        <v>12150493.896013878</v>
      </c>
      <c r="R58" s="1630">
        <v>44531</v>
      </c>
      <c r="S58" s="1627" t="str">
        <f t="shared" si="10"/>
        <v>Desp. 521/2022</v>
      </c>
      <c r="T58" s="631" t="s">
        <v>565</v>
      </c>
      <c r="U58" s="741" t="s">
        <v>566</v>
      </c>
      <c r="V58" s="631">
        <v>2022</v>
      </c>
      <c r="W58" s="1632">
        <v>2993</v>
      </c>
      <c r="X58" s="1633" t="s">
        <v>2193</v>
      </c>
      <c r="Y58" s="631"/>
      <c r="AA58" s="819" t="s">
        <v>353</v>
      </c>
      <c r="AB58" s="1627">
        <v>12.14</v>
      </c>
      <c r="AC58" s="1636">
        <v>127.47</v>
      </c>
      <c r="AD58" s="1636">
        <v>10002090.66</v>
      </c>
      <c r="AE58" s="1637">
        <v>44501</v>
      </c>
      <c r="AF58" s="1637">
        <v>44522</v>
      </c>
      <c r="AG58" s="741"/>
      <c r="AH58" s="631"/>
      <c r="AI58" s="741"/>
      <c r="AJ58" s="741"/>
      <c r="AK58" s="741" t="s">
        <v>508</v>
      </c>
      <c r="AL58" s="741">
        <v>43525</v>
      </c>
      <c r="AM58" s="741"/>
      <c r="AN58" s="1629"/>
      <c r="AO58" s="235"/>
      <c r="AP58" s="17"/>
      <c r="AR58" s="821" t="s">
        <v>432</v>
      </c>
      <c r="AS58" s="235"/>
      <c r="AT58" s="235"/>
      <c r="AX58" s="235"/>
    </row>
    <row r="59" spans="1:50" s="9" customFormat="1" ht="31.5" hidden="1">
      <c r="A59" s="631" t="s">
        <v>11</v>
      </c>
      <c r="B59" s="631" t="s">
        <v>567</v>
      </c>
      <c r="C59" s="631">
        <v>5345</v>
      </c>
      <c r="D59" s="631" t="s">
        <v>568</v>
      </c>
      <c r="E59" s="631" t="s">
        <v>282</v>
      </c>
      <c r="F59" s="631" t="s">
        <v>569</v>
      </c>
      <c r="G59" s="631" t="s">
        <v>441</v>
      </c>
      <c r="H59" s="631">
        <v>9.9699999999999997E-2</v>
      </c>
      <c r="I59" s="631" t="s">
        <v>353</v>
      </c>
      <c r="J59" s="631">
        <v>110</v>
      </c>
      <c r="K59" s="631"/>
      <c r="L59" s="631"/>
      <c r="M59" s="816">
        <v>0</v>
      </c>
      <c r="N59" s="1627"/>
      <c r="O59" s="1627" t="str">
        <f t="shared" si="9"/>
        <v>ReH 2.995/2021</v>
      </c>
      <c r="P59" s="818">
        <v>0.29220000000000002</v>
      </c>
      <c r="Q59" s="1627">
        <v>12126674.039789611</v>
      </c>
      <c r="R59" s="1630">
        <v>44531</v>
      </c>
      <c r="S59" s="1627" t="str">
        <f t="shared" si="10"/>
        <v>Desp. 521/2022</v>
      </c>
      <c r="T59" s="631" t="s">
        <v>570</v>
      </c>
      <c r="U59" s="741" t="s">
        <v>571</v>
      </c>
      <c r="V59" s="631">
        <v>2022</v>
      </c>
      <c r="W59" s="1632">
        <v>2999</v>
      </c>
      <c r="X59" s="1633" t="s">
        <v>2193</v>
      </c>
      <c r="Y59" s="631"/>
      <c r="AA59" s="819" t="s">
        <v>353</v>
      </c>
      <c r="AB59" s="1627">
        <v>24.63</v>
      </c>
      <c r="AC59" s="1636">
        <v>127.47</v>
      </c>
      <c r="AD59" s="1636">
        <v>5510422.0099999998</v>
      </c>
      <c r="AE59" s="1637">
        <v>44197</v>
      </c>
      <c r="AF59" s="1637">
        <v>44522</v>
      </c>
      <c r="AG59" s="741"/>
      <c r="AH59" s="631"/>
      <c r="AI59" s="741"/>
      <c r="AJ59" s="741"/>
      <c r="AK59" s="741" t="s">
        <v>508</v>
      </c>
      <c r="AL59" s="741">
        <v>43525</v>
      </c>
      <c r="AM59" s="741"/>
      <c r="AN59" s="1629"/>
      <c r="AO59" s="235"/>
      <c r="AP59" s="17"/>
      <c r="AR59" s="821" t="s">
        <v>465</v>
      </c>
      <c r="AS59" s="235"/>
      <c r="AT59" s="235"/>
      <c r="AX59" s="235"/>
    </row>
    <row r="60" spans="1:50" s="9" customFormat="1" ht="31.5" hidden="1">
      <c r="A60" s="631" t="s">
        <v>327</v>
      </c>
      <c r="B60" s="631" t="s">
        <v>572</v>
      </c>
      <c r="C60" s="631">
        <v>7467</v>
      </c>
      <c r="D60" s="631" t="s">
        <v>573</v>
      </c>
      <c r="E60" s="631" t="s">
        <v>282</v>
      </c>
      <c r="F60" s="631" t="s">
        <v>574</v>
      </c>
      <c r="G60" s="631" t="s">
        <v>284</v>
      </c>
      <c r="H60" s="631">
        <v>9.9699999999999997E-2</v>
      </c>
      <c r="I60" s="631" t="s">
        <v>150</v>
      </c>
      <c r="J60" s="631">
        <v>136</v>
      </c>
      <c r="K60" s="631" t="s">
        <v>164</v>
      </c>
      <c r="L60" s="631">
        <v>145</v>
      </c>
      <c r="M60" s="816">
        <v>0</v>
      </c>
      <c r="N60" s="1627"/>
      <c r="O60" s="1627" t="str">
        <f t="shared" si="9"/>
        <v>ReH 2.995/2021</v>
      </c>
      <c r="P60" s="818">
        <v>0.31130000000000002</v>
      </c>
      <c r="Q60" s="1627">
        <v>26138615.684229702</v>
      </c>
      <c r="R60" s="1630">
        <v>44531</v>
      </c>
      <c r="S60" s="1627" t="str">
        <f t="shared" si="10"/>
        <v>Desp. 521/2022</v>
      </c>
      <c r="T60" s="631" t="s">
        <v>575</v>
      </c>
      <c r="U60" s="741" t="s">
        <v>576</v>
      </c>
      <c r="V60" s="631">
        <v>2023</v>
      </c>
      <c r="W60" s="1632">
        <v>2871</v>
      </c>
      <c r="X60" s="1633" t="s">
        <v>2195</v>
      </c>
      <c r="Y60" s="631"/>
      <c r="AA60" s="819" t="s">
        <v>150</v>
      </c>
      <c r="AB60" s="817">
        <v>109.7</v>
      </c>
      <c r="AC60" s="822">
        <v>237.88</v>
      </c>
      <c r="AD60" s="822">
        <v>7537395.7800000003</v>
      </c>
      <c r="AE60" s="741">
        <v>43198</v>
      </c>
      <c r="AF60" s="741">
        <v>43198</v>
      </c>
      <c r="AG60" s="741"/>
      <c r="AH60" s="631"/>
      <c r="AI60" s="741"/>
      <c r="AJ60" s="741"/>
      <c r="AK60" s="741" t="s">
        <v>508</v>
      </c>
      <c r="AL60" s="741">
        <v>43614</v>
      </c>
      <c r="AM60" s="825">
        <v>0</v>
      </c>
      <c r="AN60" s="1629"/>
      <c r="AR60" s="821" t="s">
        <v>174</v>
      </c>
      <c r="AS60" s="235"/>
      <c r="AT60" s="235"/>
      <c r="AX60" s="235"/>
    </row>
    <row r="61" spans="1:50" ht="31.5" hidden="1">
      <c r="A61" s="510" t="s">
        <v>320</v>
      </c>
      <c r="B61" s="510" t="s">
        <v>577</v>
      </c>
      <c r="C61" s="510">
        <v>5343</v>
      </c>
      <c r="D61" s="631" t="s">
        <v>578</v>
      </c>
      <c r="E61" s="510" t="s">
        <v>282</v>
      </c>
      <c r="F61" s="510" t="s">
        <v>579</v>
      </c>
      <c r="G61" s="510" t="s">
        <v>441</v>
      </c>
      <c r="H61" s="510">
        <v>9.9699999999999997E-2</v>
      </c>
      <c r="I61" s="510" t="s">
        <v>206</v>
      </c>
      <c r="J61" s="510">
        <v>167</v>
      </c>
      <c r="K61" s="510" t="s">
        <v>580</v>
      </c>
      <c r="L61" s="510">
        <v>164</v>
      </c>
      <c r="M61" s="878">
        <v>0</v>
      </c>
      <c r="N61" s="1629"/>
      <c r="O61" s="1627" t="str">
        <f t="shared" si="9"/>
        <v>ReH 2.995/2021</v>
      </c>
      <c r="P61" s="879">
        <v>0.3589</v>
      </c>
      <c r="Q61" s="1629">
        <v>45272621.042895459</v>
      </c>
      <c r="R61" s="1630">
        <v>44531</v>
      </c>
      <c r="S61" s="1627" t="str">
        <f t="shared" si="10"/>
        <v>Desp. 521/2022</v>
      </c>
      <c r="T61" s="741">
        <v>43831</v>
      </c>
      <c r="U61" s="880" t="s">
        <v>581</v>
      </c>
      <c r="V61" s="510">
        <v>2022</v>
      </c>
      <c r="W61" s="1634">
        <v>2913</v>
      </c>
      <c r="X61" s="1635" t="s">
        <v>2196</v>
      </c>
      <c r="Y61" s="510"/>
      <c r="AA61" s="881" t="s">
        <v>206</v>
      </c>
      <c r="AB61" s="877">
        <v>16.32</v>
      </c>
      <c r="AC61" s="882">
        <v>131.34</v>
      </c>
      <c r="AD61" s="882">
        <v>22619960.88284716</v>
      </c>
      <c r="AE61" s="880">
        <v>43209</v>
      </c>
      <c r="AF61" s="880">
        <v>43270</v>
      </c>
      <c r="AG61" s="510"/>
      <c r="AH61" s="880"/>
      <c r="AI61" s="880"/>
      <c r="AJ61" s="880"/>
      <c r="AK61" s="741" t="s">
        <v>582</v>
      </c>
      <c r="AL61" s="880">
        <v>44105</v>
      </c>
      <c r="AM61" s="880"/>
      <c r="AN61" s="1629"/>
      <c r="AR61" s="631" t="s">
        <v>476</v>
      </c>
      <c r="AS61" s="871"/>
      <c r="AX61" s="871"/>
    </row>
    <row r="62" spans="1:50">
      <c r="AD62" s="784"/>
    </row>
    <row r="64" spans="1:50">
      <c r="B64">
        <v>6896</v>
      </c>
    </row>
    <row r="66" spans="1:14">
      <c r="A66" s="656" t="s">
        <v>583</v>
      </c>
    </row>
    <row r="68" spans="1:14">
      <c r="A68" s="511" t="s">
        <v>584</v>
      </c>
      <c r="B68" s="511" t="s">
        <v>27</v>
      </c>
      <c r="C68" s="511" t="s">
        <v>585</v>
      </c>
      <c r="D68" s="511" t="s">
        <v>586</v>
      </c>
      <c r="E68" s="511" t="s">
        <v>587</v>
      </c>
      <c r="F68" s="511" t="s">
        <v>588</v>
      </c>
      <c r="G68" s="511" t="s">
        <v>589</v>
      </c>
      <c r="H68" s="511" t="s">
        <v>590</v>
      </c>
      <c r="I68" s="511" t="s">
        <v>591</v>
      </c>
      <c r="J68" s="511" t="s">
        <v>592</v>
      </c>
      <c r="K68" s="517" t="s">
        <v>593</v>
      </c>
      <c r="L68" s="511" t="s">
        <v>594</v>
      </c>
      <c r="M68" s="517" t="s">
        <v>595</v>
      </c>
      <c r="N68" s="517" t="s">
        <v>2204</v>
      </c>
    </row>
    <row r="69" spans="1:14">
      <c r="A69" s="482" t="s">
        <v>279</v>
      </c>
      <c r="B69" s="631" t="s">
        <v>285</v>
      </c>
      <c r="C69" s="482">
        <v>104</v>
      </c>
      <c r="D69" s="482">
        <v>391</v>
      </c>
      <c r="E69" s="482" t="s">
        <v>596</v>
      </c>
      <c r="F69" s="482" t="str">
        <f>CONCATENATE(DescontosTE[[#This Row],[Permissionária]],DescontosTE[[#This Row],[codsariSUP]],DescontosTE[[#This Row],[Classe]])</f>
        <v>Cedrap391A4</v>
      </c>
      <c r="G69" s="512">
        <v>0.85740000000000005</v>
      </c>
      <c r="H69" s="512">
        <v>0.64305000000000001</v>
      </c>
      <c r="I69" s="512">
        <v>0.33069999999999999</v>
      </c>
      <c r="J69" s="514">
        <v>0.33069999999999999</v>
      </c>
      <c r="K69" s="683">
        <v>0.26350000000000001</v>
      </c>
      <c r="L69" s="883">
        <v>0</v>
      </c>
      <c r="M69" s="883">
        <v>0</v>
      </c>
    </row>
    <row r="70" spans="1:14">
      <c r="A70" s="482" t="s">
        <v>279</v>
      </c>
      <c r="B70" s="482" t="s">
        <v>164</v>
      </c>
      <c r="C70" s="482">
        <v>145</v>
      </c>
      <c r="D70" s="482">
        <v>385</v>
      </c>
      <c r="E70" s="482" t="s">
        <v>596</v>
      </c>
      <c r="F70" s="482" t="str">
        <f>CONCATENATE(DescontosTE[[#This Row],[Permissionária]],DescontosTE[[#This Row],[codsariSUP]],DescontosTE[[#This Row],[Classe]])</f>
        <v>Cedrap385A4</v>
      </c>
      <c r="G70" s="512">
        <v>0.81920000000000004</v>
      </c>
      <c r="H70" s="512">
        <v>0.61440000000000006</v>
      </c>
      <c r="I70" s="512">
        <v>0.33069999999999999</v>
      </c>
      <c r="J70" s="514">
        <v>0.33069999999999999</v>
      </c>
      <c r="K70" s="683">
        <v>0.26350000000000001</v>
      </c>
      <c r="L70" s="883">
        <v>0</v>
      </c>
      <c r="M70" s="883">
        <v>0</v>
      </c>
    </row>
    <row r="71" spans="1:14">
      <c r="A71" s="482" t="s">
        <v>187</v>
      </c>
      <c r="B71" s="482" t="s">
        <v>164</v>
      </c>
      <c r="C71" s="482">
        <v>145</v>
      </c>
      <c r="D71" s="482">
        <v>385</v>
      </c>
      <c r="E71" s="482" t="s">
        <v>596</v>
      </c>
      <c r="F71" s="482" t="str">
        <f>CONCATENATE(DescontosTE[[#This Row],[Permissionária]],DescontosTE[[#This Row],[codsariSUP]],DescontosTE[[#This Row],[Classe]])</f>
        <v>Cedri385A4</v>
      </c>
      <c r="G71" s="512">
        <v>0.62490000000000001</v>
      </c>
      <c r="H71" s="512">
        <v>0.46867500000000001</v>
      </c>
      <c r="I71" s="512">
        <v>0.45379999999999998</v>
      </c>
      <c r="J71" s="514">
        <v>0.45379999999999998</v>
      </c>
      <c r="K71" s="683">
        <v>0</v>
      </c>
      <c r="L71" s="883">
        <v>0</v>
      </c>
      <c r="M71" s="883">
        <v>0</v>
      </c>
    </row>
    <row r="72" spans="1:14">
      <c r="A72" s="482" t="s">
        <v>314</v>
      </c>
      <c r="B72" s="482" t="s">
        <v>189</v>
      </c>
      <c r="C72" s="482">
        <v>111</v>
      </c>
      <c r="D72" s="482">
        <v>5697</v>
      </c>
      <c r="E72" s="482" t="s">
        <v>596</v>
      </c>
      <c r="F72" s="482" t="str">
        <f>CONCATENATE(DescontosTE[[#This Row],[Permissionária]],DescontosTE[[#This Row],[codsariSUP]],DescontosTE[[#This Row],[Classe]])</f>
        <v>Cejama5697A4</v>
      </c>
      <c r="G72" s="512">
        <v>0.53426551936078681</v>
      </c>
      <c r="H72" s="512">
        <v>0.40069913952059011</v>
      </c>
      <c r="I72" s="512">
        <v>0.40069913952059011</v>
      </c>
      <c r="J72" s="514">
        <v>0.4007</v>
      </c>
      <c r="K72" s="683">
        <v>0.22989999999999999</v>
      </c>
      <c r="L72" s="883">
        <v>0</v>
      </c>
      <c r="M72" s="883">
        <v>0</v>
      </c>
    </row>
    <row r="73" spans="1:14">
      <c r="A73" s="482" t="s">
        <v>314</v>
      </c>
      <c r="B73" s="488" t="s">
        <v>406</v>
      </c>
      <c r="C73" s="482">
        <v>228</v>
      </c>
      <c r="D73" s="482">
        <v>5368</v>
      </c>
      <c r="E73" s="482" t="s">
        <v>596</v>
      </c>
      <c r="F73" s="482" t="str">
        <f>CONCATENATE(DescontosTE[[#This Row],[Permissionária]],DescontosTE[[#This Row],[codsariSUP]],DescontosTE[[#This Row],[Classe]])</f>
        <v>Cejama5368A4</v>
      </c>
      <c r="G73" s="683">
        <v>0</v>
      </c>
      <c r="H73" s="683">
        <v>0</v>
      </c>
      <c r="I73" s="683">
        <v>0</v>
      </c>
      <c r="J73" s="513">
        <v>0</v>
      </c>
      <c r="K73" s="683">
        <v>0</v>
      </c>
      <c r="L73" s="883">
        <v>0</v>
      </c>
      <c r="M73" s="883">
        <v>0</v>
      </c>
    </row>
    <row r="74" spans="1:14">
      <c r="A74" s="482" t="s">
        <v>9</v>
      </c>
      <c r="B74" s="482" t="s">
        <v>597</v>
      </c>
      <c r="C74" s="482">
        <v>110</v>
      </c>
      <c r="D74" s="482">
        <v>5707</v>
      </c>
      <c r="E74" s="482" t="s">
        <v>596</v>
      </c>
      <c r="F74" s="482" t="str">
        <f>CONCATENATE(DescontosTE[[#This Row],[Permissionária]],DescontosTE[[#This Row],[codsariSUP]],DescontosTE[[#This Row],[Classe]])</f>
        <v>Ceprag5707A4</v>
      </c>
      <c r="G74" s="512">
        <v>0.57969814099024475</v>
      </c>
      <c r="H74" s="512">
        <v>0.57969814099024475</v>
      </c>
      <c r="I74" s="512">
        <v>0.57969814099024475</v>
      </c>
      <c r="J74" s="512">
        <v>0.57969814099024475</v>
      </c>
      <c r="K74" s="683">
        <v>0.30859999999999999</v>
      </c>
      <c r="L74" s="883">
        <v>0</v>
      </c>
      <c r="M74" s="1638">
        <v>0</v>
      </c>
    </row>
    <row r="75" spans="1:14">
      <c r="A75" s="482" t="s">
        <v>9</v>
      </c>
      <c r="B75" s="482" t="s">
        <v>189</v>
      </c>
      <c r="C75" s="482">
        <v>111</v>
      </c>
      <c r="D75" s="482">
        <v>5697</v>
      </c>
      <c r="E75" s="482" t="s">
        <v>598</v>
      </c>
      <c r="F75" s="482" t="str">
        <f>CONCATENATE(DescontosTE[[#This Row],[Permissionária]],DescontosTE[[#This Row],[codsariSUP]],DescontosTE[[#This Row],[Classe]])</f>
        <v>Ceprag5697A3</v>
      </c>
      <c r="G75" s="512">
        <v>0.54564975934838955</v>
      </c>
      <c r="H75" s="512">
        <v>0.54564975934838955</v>
      </c>
      <c r="I75" s="512">
        <v>0.54564975934838955</v>
      </c>
      <c r="J75" s="512">
        <v>0.54564975934838955</v>
      </c>
      <c r="K75" s="683">
        <v>0.30859999999999999</v>
      </c>
      <c r="L75" s="883">
        <v>0.29099999999999998</v>
      </c>
      <c r="M75" s="1639">
        <v>0</v>
      </c>
    </row>
    <row r="76" spans="1:14">
      <c r="A76" s="482" t="s">
        <v>338</v>
      </c>
      <c r="B76" s="482" t="s">
        <v>189</v>
      </c>
      <c r="C76" s="482">
        <v>111</v>
      </c>
      <c r="D76" s="482">
        <v>5697</v>
      </c>
      <c r="E76" s="482" t="s">
        <v>596</v>
      </c>
      <c r="F76" s="482" t="str">
        <f>CONCATENATE(DescontosTE[[#This Row],[Permissionária]],DescontosTE[[#This Row],[codsariSUP]],DescontosTE[[#This Row],[Classe]])</f>
        <v>Ceraçá5697A4</v>
      </c>
      <c r="G76" s="512">
        <v>0.89512907191149349</v>
      </c>
      <c r="H76" s="512">
        <v>0.67134680393362012</v>
      </c>
      <c r="I76" s="512">
        <v>0.67134680393362012</v>
      </c>
      <c r="J76" s="514">
        <v>0.65039999999999998</v>
      </c>
      <c r="K76" s="683">
        <v>0.57469999999999999</v>
      </c>
      <c r="L76" s="883">
        <v>0.56379999999999997</v>
      </c>
      <c r="M76" s="1639">
        <v>0.54410000000000003</v>
      </c>
    </row>
    <row r="77" spans="1:14">
      <c r="A77" s="482" t="s">
        <v>184</v>
      </c>
      <c r="B77" s="482" t="s">
        <v>361</v>
      </c>
      <c r="C77" s="482">
        <v>220</v>
      </c>
      <c r="D77" s="482">
        <v>6898</v>
      </c>
      <c r="E77" s="482" t="s">
        <v>596</v>
      </c>
      <c r="F77" s="482" t="str">
        <f>CONCATENATE(DescontosTE[[#This Row],[Permissionária]],DescontosTE[[#This Row],[codsariSUP]],DescontosTE[[#This Row],[Classe]])</f>
        <v>Ceral Anitápolis6898A4</v>
      </c>
      <c r="G77" s="512">
        <v>0.90610167159661548</v>
      </c>
      <c r="H77" s="512">
        <v>0.67957625369746166</v>
      </c>
      <c r="I77" s="512">
        <v>0.222</v>
      </c>
      <c r="J77" s="514">
        <v>0.1933</v>
      </c>
      <c r="K77" s="683">
        <v>0.1933</v>
      </c>
      <c r="L77" s="883">
        <v>0</v>
      </c>
      <c r="M77" s="883">
        <v>0</v>
      </c>
    </row>
    <row r="78" spans="1:14">
      <c r="A78" s="482" t="s">
        <v>356</v>
      </c>
      <c r="B78" s="482" t="s">
        <v>599</v>
      </c>
      <c r="C78" s="482">
        <v>132</v>
      </c>
      <c r="D78" s="482">
        <v>2866</v>
      </c>
      <c r="E78" s="482" t="s">
        <v>596</v>
      </c>
      <c r="F78" s="482" t="str">
        <f>CONCATENATE(DescontosTE[[#This Row],[Permissionária]],DescontosTE[[#This Row],[codsariSUP]],DescontosTE[[#This Row],[Classe]])</f>
        <v>Ceral Dis2866A4</v>
      </c>
      <c r="G78" s="512">
        <v>0.73094654242275625</v>
      </c>
      <c r="H78" s="512">
        <v>0.54820990681706716</v>
      </c>
      <c r="I78" s="512">
        <v>0.40820000000000001</v>
      </c>
      <c r="J78" s="514">
        <v>0.40816629218792566</v>
      </c>
      <c r="K78" s="683">
        <v>0.38150000000000001</v>
      </c>
      <c r="L78" s="883">
        <v>0.2326</v>
      </c>
      <c r="M78" s="1639">
        <v>0.2326</v>
      </c>
    </row>
    <row r="79" spans="1:14">
      <c r="A79" s="482" t="s">
        <v>356</v>
      </c>
      <c r="B79" s="482" t="s">
        <v>599</v>
      </c>
      <c r="C79" s="482">
        <v>132</v>
      </c>
      <c r="D79" s="482">
        <v>2866</v>
      </c>
      <c r="E79" s="482" t="s">
        <v>600</v>
      </c>
      <c r="F79" s="482" t="str">
        <f>CONCATENATE(DescontosTE[[#This Row],[Permissionária]],DescontosTE[[#This Row],[codsariSUP]],DescontosTE[[#This Row],[Classe]])</f>
        <v>Ceral Dis2866A3a</v>
      </c>
      <c r="G79" s="512">
        <v>0.73094654242275625</v>
      </c>
      <c r="H79" s="512">
        <v>0.54820990681706716</v>
      </c>
      <c r="I79" s="512">
        <v>0.40820000000000001</v>
      </c>
      <c r="J79" s="514">
        <v>0.40816629218792566</v>
      </c>
      <c r="K79" s="683">
        <v>0.38150000000000001</v>
      </c>
      <c r="L79" s="883">
        <v>0.2326</v>
      </c>
      <c r="M79" s="1639">
        <v>0.2326</v>
      </c>
    </row>
    <row r="80" spans="1:14">
      <c r="A80" s="482" t="s">
        <v>361</v>
      </c>
      <c r="B80" s="482" t="s">
        <v>189</v>
      </c>
      <c r="C80" s="482">
        <v>111</v>
      </c>
      <c r="D80" s="482">
        <v>5697</v>
      </c>
      <c r="E80" s="482" t="s">
        <v>601</v>
      </c>
      <c r="F80" s="482" t="str">
        <f>CONCATENATE(DescontosTE[[#This Row],[Permissionária]],DescontosTE[[#This Row],[codsariSUP]],DescontosTE[[#This Row],[Classe]])</f>
        <v>Cerbranorte5697A2</v>
      </c>
      <c r="G80" s="512">
        <v>0.47579901659496004</v>
      </c>
      <c r="H80" s="512">
        <v>0.35684926244622006</v>
      </c>
      <c r="I80" s="512">
        <v>0.35684926244622006</v>
      </c>
      <c r="J80" s="514">
        <v>0.34470000000000001</v>
      </c>
      <c r="K80" s="683">
        <v>0.1027</v>
      </c>
      <c r="L80" s="883">
        <v>9.9400000000000002E-2</v>
      </c>
      <c r="M80" s="1639">
        <v>0</v>
      </c>
    </row>
    <row r="81" spans="1:14">
      <c r="A81" s="482" t="s">
        <v>361</v>
      </c>
      <c r="B81" s="482" t="s">
        <v>189</v>
      </c>
      <c r="C81" s="482">
        <v>111</v>
      </c>
      <c r="D81" s="482">
        <v>5697</v>
      </c>
      <c r="E81" s="482" t="s">
        <v>596</v>
      </c>
      <c r="F81" s="482" t="str">
        <f>CONCATENATE(DescontosTE[[#This Row],[Permissionária]],DescontosTE[[#This Row],[codsariSUP]],DescontosTE[[#This Row],[Classe]])</f>
        <v>Cerbranorte5697A4</v>
      </c>
      <c r="G81" s="512">
        <v>0.47579901659496004</v>
      </c>
      <c r="H81" s="512">
        <v>0.35684926244622006</v>
      </c>
      <c r="I81" s="512">
        <v>0.35684926244622006</v>
      </c>
      <c r="J81" s="514">
        <v>0.34470000000000001</v>
      </c>
      <c r="K81" s="683">
        <v>0.1027</v>
      </c>
      <c r="L81" s="883">
        <v>9.9400000000000002E-2</v>
      </c>
      <c r="M81" s="1639">
        <v>0</v>
      </c>
    </row>
    <row r="82" spans="1:14">
      <c r="A82" s="482" t="s">
        <v>371</v>
      </c>
      <c r="B82" s="482" t="s">
        <v>602</v>
      </c>
      <c r="C82" s="482">
        <v>155</v>
      </c>
      <c r="D82" s="482">
        <v>6587</v>
      </c>
      <c r="E82" s="482" t="s">
        <v>596</v>
      </c>
      <c r="F82" s="482" t="str">
        <f>CONCATENATE(DescontosTE[[#This Row],[Permissionária]],DescontosTE[[#This Row],[codsariSUP]],DescontosTE[[#This Row],[Classe]])</f>
        <v>Cercos6587A4</v>
      </c>
      <c r="G82" s="512">
        <v>0.71649852236828693</v>
      </c>
      <c r="H82" s="512">
        <v>0.5373738917762152</v>
      </c>
      <c r="I82" s="512">
        <v>0.35820000000000002</v>
      </c>
      <c r="J82" s="514">
        <v>0</v>
      </c>
      <c r="K82" s="683">
        <v>0</v>
      </c>
      <c r="L82" s="883">
        <v>0</v>
      </c>
      <c r="M82" s="883">
        <v>0</v>
      </c>
    </row>
    <row r="83" spans="1:14">
      <c r="A83" s="482" t="s">
        <v>372</v>
      </c>
      <c r="B83" s="482" t="s">
        <v>189</v>
      </c>
      <c r="C83" s="482">
        <v>111</v>
      </c>
      <c r="D83" s="482">
        <v>5697</v>
      </c>
      <c r="E83" s="482" t="s">
        <v>596</v>
      </c>
      <c r="F83" s="482" t="str">
        <f>CONCATENATE(DescontosTE[[#This Row],[Permissionária]],DescontosTE[[#This Row],[codsariSUP]],DescontosTE[[#This Row],[Classe]])</f>
        <v>Cerej5697A4</v>
      </c>
      <c r="G83" s="512">
        <v>0.89474492931776273</v>
      </c>
      <c r="H83" s="512">
        <v>0.6710586969883221</v>
      </c>
      <c r="I83" s="512">
        <v>0.6710586969883221</v>
      </c>
      <c r="J83" s="514">
        <v>0.67110000000000003</v>
      </c>
      <c r="K83" s="683">
        <v>0.67110000000000003</v>
      </c>
      <c r="L83" s="883">
        <v>0.63749999999999996</v>
      </c>
      <c r="M83" s="1639">
        <v>0.41699999999999998</v>
      </c>
    </row>
    <row r="84" spans="1:14">
      <c r="A84" s="482" t="s">
        <v>182</v>
      </c>
      <c r="B84" s="488" t="s">
        <v>163</v>
      </c>
      <c r="C84" s="482">
        <v>103</v>
      </c>
      <c r="D84" s="482">
        <v>383</v>
      </c>
      <c r="E84" s="482" t="s">
        <v>596</v>
      </c>
      <c r="F84" s="482" t="str">
        <f>CONCATENATE(DescontosTE[[#This Row],[Permissionária]],DescontosTE[[#This Row],[codsariSUP]],DescontosTE[[#This Row],[Classe]])</f>
        <v>Ceres383A4</v>
      </c>
      <c r="G84" s="512">
        <v>0.87464280342908707</v>
      </c>
      <c r="H84" s="512">
        <v>0.65598210257181533</v>
      </c>
      <c r="I84" s="512">
        <v>0.43730000000000002</v>
      </c>
      <c r="J84" s="512">
        <v>0.43730000000000002</v>
      </c>
      <c r="K84" s="683">
        <v>0.43730000000000002</v>
      </c>
      <c r="L84" s="883">
        <f>DescontosTE[[#This Row],[2019]]</f>
        <v>0.43730000000000002</v>
      </c>
      <c r="M84" s="1640">
        <f>DescontosTE[[#This Row],[2020]]</f>
        <v>0.43730000000000002</v>
      </c>
      <c r="N84" s="1640">
        <f>DescontosTE[[#This Row],[2020]]</f>
        <v>0.43730000000000002</v>
      </c>
    </row>
    <row r="85" spans="1:14">
      <c r="A85" s="482" t="s">
        <v>185</v>
      </c>
      <c r="B85" s="482" t="s">
        <v>189</v>
      </c>
      <c r="C85" s="482">
        <v>111</v>
      </c>
      <c r="D85" s="482">
        <v>5697</v>
      </c>
      <c r="E85" s="482" t="s">
        <v>596</v>
      </c>
      <c r="F85" s="482" t="str">
        <f>CONCATENATE(DescontosTE[[#This Row],[Permissionária]],DescontosTE[[#This Row],[codsariSUP]],DescontosTE[[#This Row],[Classe]])</f>
        <v>Cergal5697A4</v>
      </c>
      <c r="G85" s="512">
        <v>0.72464658881376764</v>
      </c>
      <c r="H85" s="512">
        <v>0.54348494161032579</v>
      </c>
      <c r="I85" s="512">
        <v>0.54348494161032579</v>
      </c>
      <c r="J85" s="514">
        <v>0.54349999999999998</v>
      </c>
      <c r="K85" s="683">
        <v>0.33379999999999999</v>
      </c>
      <c r="L85" s="883">
        <v>0.25619999999999998</v>
      </c>
      <c r="M85" s="1639">
        <v>0.25619999999999998</v>
      </c>
    </row>
    <row r="86" spans="1:14">
      <c r="A86" s="482" t="s">
        <v>383</v>
      </c>
      <c r="B86" s="482" t="s">
        <v>189</v>
      </c>
      <c r="C86" s="482">
        <v>111</v>
      </c>
      <c r="D86" s="482">
        <v>5697</v>
      </c>
      <c r="E86" s="482" t="s">
        <v>596</v>
      </c>
      <c r="F86" s="482" t="str">
        <f>CONCATENATE(DescontosTE[[#This Row],[Permissionária]],DescontosTE[[#This Row],[codsariSUP]],DescontosTE[[#This Row],[Classe]])</f>
        <v>Cergapa5697A4</v>
      </c>
      <c r="G86" s="512">
        <v>0.69825990373935576</v>
      </c>
      <c r="H86" s="512">
        <v>0.69825990373935576</v>
      </c>
      <c r="I86" s="512">
        <v>0.54749999999999999</v>
      </c>
      <c r="J86" s="514">
        <v>0.48209999999999997</v>
      </c>
      <c r="K86" s="683">
        <v>0.42549999999999999</v>
      </c>
      <c r="L86" s="883">
        <v>0.37969999999999998</v>
      </c>
      <c r="M86" s="1639">
        <v>0.36749999999999999</v>
      </c>
    </row>
    <row r="87" spans="1:14">
      <c r="A87" s="482" t="s">
        <v>390</v>
      </c>
      <c r="B87" s="482" t="s">
        <v>189</v>
      </c>
      <c r="C87" s="482">
        <v>111</v>
      </c>
      <c r="D87" s="482">
        <v>5697</v>
      </c>
      <c r="E87" s="482" t="s">
        <v>596</v>
      </c>
      <c r="F87" s="482" t="str">
        <f>CONCATENATE(DescontosTE[[#This Row],[Permissionária]],DescontosTE[[#This Row],[codsariSUP]],DescontosTE[[#This Row],[Classe]])</f>
        <v>Cergral5697A4</v>
      </c>
      <c r="G87" s="512">
        <v>0.7833435771358328</v>
      </c>
      <c r="H87" s="512">
        <v>0.5875076828518746</v>
      </c>
      <c r="I87" s="512">
        <v>0.5875076828518746</v>
      </c>
      <c r="J87" s="514">
        <v>0.58750000000000002</v>
      </c>
      <c r="K87" s="683">
        <v>0.56830000000000003</v>
      </c>
      <c r="L87" s="883">
        <v>0.55110000000000003</v>
      </c>
      <c r="M87" s="1639">
        <v>0.48010000000000003</v>
      </c>
    </row>
    <row r="88" spans="1:14">
      <c r="A88" s="482" t="s">
        <v>175</v>
      </c>
      <c r="B88" s="482" t="s">
        <v>206</v>
      </c>
      <c r="C88" s="609">
        <v>167</v>
      </c>
      <c r="D88" s="609">
        <v>396</v>
      </c>
      <c r="E88" s="482" t="s">
        <v>598</v>
      </c>
      <c r="F88" s="482" t="str">
        <f>CONCATENATE(DescontosTE[[#This Row],[Permissionária]],DescontosTE[[#This Row],[codsariSUP]],DescontosTE[[#This Row],[Classe]])</f>
        <v>Ceriluz396A3</v>
      </c>
      <c r="G88" s="512">
        <v>0.82731282784930849</v>
      </c>
      <c r="H88" s="512">
        <v>0.82731282784930849</v>
      </c>
      <c r="I88" s="512">
        <v>0.82731282784930849</v>
      </c>
      <c r="J88" s="514">
        <v>0.2782</v>
      </c>
      <c r="K88" s="683">
        <v>0.2782</v>
      </c>
      <c r="L88" s="883">
        <v>0.2132</v>
      </c>
      <c r="M88" s="1639">
        <v>0.2132</v>
      </c>
    </row>
    <row r="89" spans="1:14">
      <c r="A89" s="482" t="s">
        <v>175</v>
      </c>
      <c r="B89" s="482" t="s">
        <v>206</v>
      </c>
      <c r="C89" s="609">
        <v>167</v>
      </c>
      <c r="D89" s="609">
        <v>396</v>
      </c>
      <c r="E89" s="482" t="s">
        <v>596</v>
      </c>
      <c r="F89" s="482" t="str">
        <f>CONCATENATE(DescontosTE[[#This Row],[Permissionária]],DescontosTE[[#This Row],[codsariSUP]],DescontosTE[[#This Row],[Classe]])</f>
        <v>Ceriluz396A4</v>
      </c>
      <c r="G89" s="512">
        <v>0.73575345731998087</v>
      </c>
      <c r="H89" s="512">
        <v>0.73575345731998087</v>
      </c>
      <c r="I89" s="512">
        <v>0.73575345731998087</v>
      </c>
      <c r="J89" s="514">
        <v>0.2782</v>
      </c>
      <c r="K89" s="683">
        <v>0.2782</v>
      </c>
      <c r="L89" s="883">
        <v>0.2132</v>
      </c>
      <c r="M89" s="1639">
        <v>0.2132</v>
      </c>
    </row>
    <row r="90" spans="1:14">
      <c r="A90" s="482" t="s">
        <v>175</v>
      </c>
      <c r="B90" s="482" t="s">
        <v>206</v>
      </c>
      <c r="C90" s="609">
        <v>167</v>
      </c>
      <c r="D90" s="609">
        <v>396</v>
      </c>
      <c r="E90" s="482" t="s">
        <v>603</v>
      </c>
      <c r="F90" s="482" t="str">
        <f>CONCATENATE(DescontosTE[[#This Row],[Permissionária]],DescontosTE[[#This Row],[codsariSUP]],DescontosTE[[#This Row],[Classe]])</f>
        <v>Ceriluz396B</v>
      </c>
      <c r="G90" s="512">
        <v>0.73033677201026148</v>
      </c>
      <c r="H90" s="512">
        <v>0.73033677201026148</v>
      </c>
      <c r="I90" s="512">
        <v>0.73033677201026148</v>
      </c>
      <c r="J90" s="514">
        <v>0.2782</v>
      </c>
      <c r="K90" s="683">
        <v>0.2782</v>
      </c>
      <c r="L90" s="883">
        <v>0.2132</v>
      </c>
      <c r="M90" s="1639">
        <v>0.2132</v>
      </c>
    </row>
    <row r="91" spans="1:14">
      <c r="A91" s="482" t="s">
        <v>296</v>
      </c>
      <c r="B91" s="482" t="s">
        <v>178</v>
      </c>
      <c r="C91" s="482">
        <v>135</v>
      </c>
      <c r="D91" s="482">
        <v>2937</v>
      </c>
      <c r="E91" s="482" t="s">
        <v>596</v>
      </c>
      <c r="F91" s="482" t="str">
        <f>CONCATENATE(DescontosTE[[#This Row],[Permissionária]],DescontosTE[[#This Row],[codsariSUP]],DescontosTE[[#This Row],[Classe]])</f>
        <v>Cerim2937A4</v>
      </c>
      <c r="G91" s="512">
        <v>0.63275249814187795</v>
      </c>
      <c r="H91" s="512">
        <v>0.47456437360640846</v>
      </c>
      <c r="I91" s="512">
        <v>0.3463</v>
      </c>
      <c r="J91" s="514">
        <v>0.33600000000000002</v>
      </c>
      <c r="K91" s="810">
        <v>5.0599999999999999E-2</v>
      </c>
      <c r="L91" s="883">
        <v>0</v>
      </c>
      <c r="M91" s="883">
        <v>0</v>
      </c>
    </row>
    <row r="92" spans="1:14">
      <c r="A92" s="482" t="s">
        <v>302</v>
      </c>
      <c r="B92" s="482" t="s">
        <v>164</v>
      </c>
      <c r="C92" s="482">
        <v>145</v>
      </c>
      <c r="D92" s="482">
        <v>385</v>
      </c>
      <c r="E92" s="482" t="s">
        <v>600</v>
      </c>
      <c r="F92" s="482" t="str">
        <f>CONCATENATE(DescontosTE[[#This Row],[Permissionária]],DescontosTE[[#This Row],[codsariSUP]],DescontosTE[[#This Row],[Classe]])</f>
        <v>Ceripa385A3a</v>
      </c>
      <c r="G92" s="512">
        <v>0.76371671876684266</v>
      </c>
      <c r="H92" s="512">
        <v>0.57278753907513202</v>
      </c>
      <c r="I92" s="512">
        <v>0.38190000000000002</v>
      </c>
      <c r="J92" s="514">
        <v>1.2E-2</v>
      </c>
      <c r="K92" s="815">
        <v>1.2E-2</v>
      </c>
      <c r="L92" s="883">
        <f>DescontosTE[[#This Row],[2019]]</f>
        <v>1.2E-2</v>
      </c>
      <c r="M92" s="514">
        <f>DescontosTE[[#This Row],[2020]]</f>
        <v>1.2E-2</v>
      </c>
      <c r="N92" s="249">
        <v>1.2E-2</v>
      </c>
    </row>
    <row r="93" spans="1:14">
      <c r="A93" s="482" t="s">
        <v>302</v>
      </c>
      <c r="B93" s="482" t="s">
        <v>164</v>
      </c>
      <c r="C93" s="482">
        <v>145</v>
      </c>
      <c r="D93" s="482">
        <v>385</v>
      </c>
      <c r="E93" s="482" t="s">
        <v>596</v>
      </c>
      <c r="F93" s="482" t="str">
        <f>CONCATENATE(DescontosTE[[#This Row],[Permissionária]],DescontosTE[[#This Row],[codsariSUP]],DescontosTE[[#This Row],[Classe]])</f>
        <v>Ceripa385A4</v>
      </c>
      <c r="G93" s="512">
        <v>0.76627856834842611</v>
      </c>
      <c r="H93" s="512">
        <v>0.57470892626131964</v>
      </c>
      <c r="I93" s="512">
        <v>0.3831</v>
      </c>
      <c r="J93" s="514">
        <v>1.2E-2</v>
      </c>
      <c r="K93" s="815">
        <v>1.2E-2</v>
      </c>
      <c r="L93" s="883">
        <f>DescontosTE[[#This Row],[2019]]</f>
        <v>1.2E-2</v>
      </c>
      <c r="M93" s="514">
        <f>DescontosTE[[#This Row],[2020]]</f>
        <v>1.2E-2</v>
      </c>
      <c r="N93" s="249">
        <v>1.2E-2</v>
      </c>
    </row>
    <row r="94" spans="1:14">
      <c r="A94" s="482" t="s">
        <v>302</v>
      </c>
      <c r="B94" s="482" t="s">
        <v>204</v>
      </c>
      <c r="C94" s="482">
        <v>166</v>
      </c>
      <c r="D94" s="482">
        <v>72</v>
      </c>
      <c r="E94" s="482" t="s">
        <v>598</v>
      </c>
      <c r="F94" s="482" t="str">
        <f>CONCATENATE(DescontosTE[[#This Row],[Permissionária]],DescontosTE[[#This Row],[codsariSUP]],DescontosTE[[#This Row],[Classe]])</f>
        <v>Ceripa72A3</v>
      </c>
      <c r="G94" s="512">
        <v>0.85982875805455028</v>
      </c>
      <c r="H94" s="512">
        <v>0.64487156854091277</v>
      </c>
      <c r="I94" s="512">
        <v>0.4299</v>
      </c>
      <c r="J94" s="514">
        <v>1.2E-2</v>
      </c>
      <c r="K94" s="815">
        <v>1.2E-2</v>
      </c>
      <c r="L94" s="883">
        <f>DescontosTE[[#This Row],[2019]]</f>
        <v>1.2E-2</v>
      </c>
      <c r="M94" s="514">
        <f>DescontosTE[[#This Row],[2020]]</f>
        <v>1.2E-2</v>
      </c>
      <c r="N94" s="249">
        <v>1.2E-2</v>
      </c>
    </row>
    <row r="95" spans="1:14">
      <c r="A95" s="482" t="s">
        <v>302</v>
      </c>
      <c r="B95" s="482" t="s">
        <v>204</v>
      </c>
      <c r="C95" s="482">
        <v>166</v>
      </c>
      <c r="D95" s="482">
        <v>72</v>
      </c>
      <c r="E95" s="482" t="s">
        <v>600</v>
      </c>
      <c r="F95" s="482" t="str">
        <f>CONCATENATE(DescontosTE[[#This Row],[Permissionária]],DescontosTE[[#This Row],[codsariSUP]],DescontosTE[[#This Row],[Classe]])</f>
        <v>Ceripa72A3a</v>
      </c>
      <c r="G95" s="512">
        <v>0.72071674463765556</v>
      </c>
      <c r="H95" s="512">
        <v>0.5405375584782417</v>
      </c>
      <c r="I95" s="512">
        <v>0.3604</v>
      </c>
      <c r="J95" s="514">
        <v>1.2E-2</v>
      </c>
      <c r="K95" s="815">
        <v>1.2E-2</v>
      </c>
      <c r="L95" s="883">
        <f>DescontosTE[[#This Row],[2019]]</f>
        <v>1.2E-2</v>
      </c>
      <c r="M95" s="514">
        <f>DescontosTE[[#This Row],[2020]]</f>
        <v>1.2E-2</v>
      </c>
      <c r="N95" s="249">
        <v>1.2E-2</v>
      </c>
    </row>
    <row r="96" spans="1:14">
      <c r="A96" s="482" t="s">
        <v>302</v>
      </c>
      <c r="B96" s="482" t="s">
        <v>204</v>
      </c>
      <c r="C96" s="482">
        <v>166</v>
      </c>
      <c r="D96" s="482">
        <v>72</v>
      </c>
      <c r="E96" s="482" t="s">
        <v>596</v>
      </c>
      <c r="F96" s="482" t="str">
        <f>CONCATENATE(DescontosTE[[#This Row],[Permissionária]],DescontosTE[[#This Row],[codsariSUP]],DescontosTE[[#This Row],[Classe]])</f>
        <v>Ceripa72A4</v>
      </c>
      <c r="G96" s="512">
        <v>0.69352987907140973</v>
      </c>
      <c r="H96" s="512">
        <v>0.5201474093035573</v>
      </c>
      <c r="I96" s="512">
        <v>0.3468</v>
      </c>
      <c r="J96" s="514">
        <v>1.2E-2</v>
      </c>
      <c r="K96" s="815">
        <v>1.2E-2</v>
      </c>
      <c r="L96" s="883">
        <f>DescontosTE[[#This Row],[2019]]</f>
        <v>1.2E-2</v>
      </c>
      <c r="M96" s="514">
        <f>DescontosTE[[#This Row],[2020]]</f>
        <v>1.2E-2</v>
      </c>
      <c r="N96" s="249">
        <v>1.2E-2</v>
      </c>
    </row>
    <row r="97" spans="1:13">
      <c r="A97" s="482" t="s">
        <v>308</v>
      </c>
      <c r="B97" s="482" t="s">
        <v>312</v>
      </c>
      <c r="C97" s="482">
        <v>148</v>
      </c>
      <c r="D97" s="482">
        <v>390</v>
      </c>
      <c r="E97" s="482" t="s">
        <v>596</v>
      </c>
      <c r="F97" s="482" t="str">
        <f>CONCATENATE(DescontosTE[[#This Row],[Permissionária]],DescontosTE[[#This Row],[codsariSUP]],DescontosTE[[#This Row],[Classe]])</f>
        <v>Ceris390A4</v>
      </c>
      <c r="G97" s="512">
        <v>0.88419999999999999</v>
      </c>
      <c r="H97" s="512">
        <v>0.66315000000000002</v>
      </c>
      <c r="I97" s="512">
        <v>0.61850000000000005</v>
      </c>
      <c r="J97" s="514">
        <v>0.59560000000000002</v>
      </c>
      <c r="K97" s="683">
        <v>0.58150000000000002</v>
      </c>
      <c r="L97" s="883">
        <v>0.58150000000000002</v>
      </c>
      <c r="M97" s="1639">
        <v>0.58150000000000002</v>
      </c>
    </row>
    <row r="98" spans="1:13">
      <c r="A98" s="482" t="s">
        <v>604</v>
      </c>
      <c r="B98" s="631" t="s">
        <v>285</v>
      </c>
      <c r="C98" s="482">
        <v>104</v>
      </c>
      <c r="D98" s="482">
        <v>391</v>
      </c>
      <c r="E98" s="482" t="s">
        <v>596</v>
      </c>
      <c r="F98" s="482" t="str">
        <f>CONCATENATE(DescontosTE[[#This Row],[Permissionária]],DescontosTE[[#This Row],[codsariSUP]],DescontosTE[[#This Row],[Classe]])</f>
        <v>Cermc391A4</v>
      </c>
      <c r="G98" s="512">
        <v>0.36708496982469596</v>
      </c>
      <c r="H98" s="512">
        <v>0.275313727368522</v>
      </c>
      <c r="I98" s="512">
        <v>0.275313727368522</v>
      </c>
      <c r="J98" s="514">
        <v>0.22059999999999999</v>
      </c>
      <c r="K98" s="683">
        <v>0</v>
      </c>
      <c r="L98" s="883">
        <v>0</v>
      </c>
      <c r="M98" s="883">
        <v>0</v>
      </c>
    </row>
    <row r="99" spans="1:13">
      <c r="A99" s="482" t="s">
        <v>437</v>
      </c>
      <c r="B99" s="482" t="s">
        <v>206</v>
      </c>
      <c r="C99" s="609">
        <v>167</v>
      </c>
      <c r="D99" s="609">
        <v>396</v>
      </c>
      <c r="E99" s="482" t="s">
        <v>598</v>
      </c>
      <c r="F99" s="482" t="str">
        <f>CONCATENATE(DescontosTE[[#This Row],[Permissionária]],DescontosTE[[#This Row],[codsariSUP]],DescontosTE[[#This Row],[Classe]])</f>
        <v>Cermissões396A3</v>
      </c>
      <c r="G99" s="512">
        <v>0.5923752369117381</v>
      </c>
      <c r="H99" s="512">
        <v>0.5923752369117381</v>
      </c>
      <c r="I99" s="512">
        <v>0.44429999999999997</v>
      </c>
      <c r="J99" s="514">
        <v>0</v>
      </c>
      <c r="K99" s="683">
        <v>0</v>
      </c>
      <c r="L99" s="883">
        <v>0</v>
      </c>
      <c r="M99" s="883">
        <v>0</v>
      </c>
    </row>
    <row r="100" spans="1:13">
      <c r="A100" s="482" t="s">
        <v>437</v>
      </c>
      <c r="B100" s="482" t="s">
        <v>206</v>
      </c>
      <c r="C100" s="609">
        <v>167</v>
      </c>
      <c r="D100" s="609">
        <v>396</v>
      </c>
      <c r="E100" s="482" t="s">
        <v>596</v>
      </c>
      <c r="F100" s="482" t="str">
        <f>CONCATENATE(DescontosTE[[#This Row],[Permissionária]],DescontosTE[[#This Row],[codsariSUP]],DescontosTE[[#This Row],[Classe]])</f>
        <v>Cermissões396A4</v>
      </c>
      <c r="G100" s="512">
        <v>0.5923752369117381</v>
      </c>
      <c r="H100" s="512">
        <v>0.5923752369117381</v>
      </c>
      <c r="I100" s="512">
        <v>0.44429999999999997</v>
      </c>
      <c r="J100" s="514">
        <v>0</v>
      </c>
      <c r="K100" s="683">
        <v>0</v>
      </c>
      <c r="L100" s="883">
        <v>0</v>
      </c>
      <c r="M100" s="883">
        <v>0</v>
      </c>
    </row>
    <row r="101" spans="1:13">
      <c r="A101" s="482" t="s">
        <v>437</v>
      </c>
      <c r="B101" s="482" t="s">
        <v>206</v>
      </c>
      <c r="C101" s="609">
        <v>167</v>
      </c>
      <c r="D101" s="609">
        <v>396</v>
      </c>
      <c r="E101" s="482" t="s">
        <v>603</v>
      </c>
      <c r="F101" s="482" t="str">
        <f>CONCATENATE(DescontosTE[[#This Row],[Permissionária]],DescontosTE[[#This Row],[codsariSUP]],DescontosTE[[#This Row],[Classe]])</f>
        <v>Cermissões396B</v>
      </c>
      <c r="G101" s="512">
        <v>8.6300000000000002E-2</v>
      </c>
      <c r="H101" s="512">
        <v>8.6300000000000002E-2</v>
      </c>
      <c r="I101" s="512">
        <v>6.4699999999999994E-2</v>
      </c>
      <c r="J101" s="514">
        <v>0</v>
      </c>
      <c r="K101" s="683">
        <v>0</v>
      </c>
      <c r="L101" s="883">
        <v>0</v>
      </c>
      <c r="M101" s="883">
        <v>0</v>
      </c>
    </row>
    <row r="102" spans="1:13">
      <c r="A102" s="482" t="s">
        <v>395</v>
      </c>
      <c r="B102" s="482" t="s">
        <v>189</v>
      </c>
      <c r="C102" s="482">
        <v>111</v>
      </c>
      <c r="D102" s="482">
        <v>5697</v>
      </c>
      <c r="E102" s="482" t="s">
        <v>598</v>
      </c>
      <c r="F102" s="482" t="str">
        <f>CONCATENATE(DescontosTE[[#This Row],[Permissionária]],DescontosTE[[#This Row],[codsariSUP]],DescontosTE[[#This Row],[Classe]])</f>
        <v>Cermoful5697A3</v>
      </c>
      <c r="G102" s="512">
        <v>0.71025546094039238</v>
      </c>
      <c r="H102" s="512">
        <v>0.71025546094039238</v>
      </c>
      <c r="I102" s="512">
        <v>0.71025546094039238</v>
      </c>
      <c r="J102" s="514">
        <v>0.67859999999999998</v>
      </c>
      <c r="K102" s="683">
        <v>0.61480000000000001</v>
      </c>
      <c r="L102" s="883">
        <v>0.55579999999999996</v>
      </c>
      <c r="M102" s="1639">
        <v>0.53969999999999996</v>
      </c>
    </row>
    <row r="103" spans="1:13">
      <c r="A103" s="482" t="s">
        <v>395</v>
      </c>
      <c r="B103" s="482" t="s">
        <v>189</v>
      </c>
      <c r="C103" s="482">
        <v>111</v>
      </c>
      <c r="D103" s="482">
        <v>5697</v>
      </c>
      <c r="E103" s="482" t="s">
        <v>596</v>
      </c>
      <c r="F103" s="482" t="str">
        <f>CONCATENATE(DescontosTE[[#This Row],[Permissionária]],DescontosTE[[#This Row],[codsariSUP]],DescontosTE[[#This Row],[Classe]])</f>
        <v>Cermoful5697A4</v>
      </c>
      <c r="G103" s="512">
        <v>0.71025546094039238</v>
      </c>
      <c r="H103" s="512">
        <v>0.71025546094039238</v>
      </c>
      <c r="I103" s="512">
        <v>0.71025546094039238</v>
      </c>
      <c r="J103" s="514">
        <v>0.67859999999999998</v>
      </c>
      <c r="K103" s="683">
        <v>0.61480000000000001</v>
      </c>
      <c r="L103" s="883">
        <v>0.55579999999999996</v>
      </c>
      <c r="M103" s="1639">
        <v>0.53969999999999996</v>
      </c>
    </row>
    <row r="104" spans="1:13">
      <c r="A104" s="482" t="s">
        <v>321</v>
      </c>
      <c r="B104" s="488" t="s">
        <v>125</v>
      </c>
      <c r="C104" s="482">
        <v>165</v>
      </c>
      <c r="D104" s="482">
        <v>5216</v>
      </c>
      <c r="E104" s="482" t="s">
        <v>596</v>
      </c>
      <c r="F104" s="482" t="str">
        <f>CONCATENATE(DescontosTE[[#This Row],[Permissionária]],DescontosTE[[#This Row],[codsariSUP]],DescontosTE[[#This Row],[Classe]])</f>
        <v>Cernhe5216A4</v>
      </c>
      <c r="G104" s="512">
        <v>0.90173092774063557</v>
      </c>
      <c r="H104" s="512">
        <v>0.67629819580547668</v>
      </c>
      <c r="I104" s="512">
        <v>0.45090000000000002</v>
      </c>
      <c r="J104" s="514">
        <v>0</v>
      </c>
      <c r="K104" s="683">
        <v>0</v>
      </c>
      <c r="L104" s="883">
        <v>0</v>
      </c>
      <c r="M104" s="883">
        <v>0</v>
      </c>
    </row>
    <row r="105" spans="1:13">
      <c r="A105" s="482" t="s">
        <v>401</v>
      </c>
      <c r="B105" s="482" t="s">
        <v>189</v>
      </c>
      <c r="C105" s="482">
        <v>111</v>
      </c>
      <c r="D105" s="482">
        <v>5697</v>
      </c>
      <c r="E105" s="482" t="s">
        <v>600</v>
      </c>
      <c r="F105" s="482" t="str">
        <f>CONCATENATE(DescontosTE[[#This Row],[Permissionária]],DescontosTE[[#This Row],[codsariSUP]],DescontosTE[[#This Row],[Classe]])</f>
        <v>Cerpalo5697A3a</v>
      </c>
      <c r="G105" s="512">
        <v>0.89981561155500922</v>
      </c>
      <c r="H105" s="512">
        <v>0.67486170866625694</v>
      </c>
      <c r="I105" s="512">
        <v>0.59530000000000005</v>
      </c>
      <c r="J105" s="514">
        <v>0.59530000000000005</v>
      </c>
      <c r="K105" s="683">
        <v>0.44540000000000002</v>
      </c>
      <c r="L105" s="883">
        <v>0.44540000000000002</v>
      </c>
      <c r="M105" s="1639">
        <v>0.31740000000000002</v>
      </c>
    </row>
    <row r="106" spans="1:13">
      <c r="A106" s="482" t="s">
        <v>328</v>
      </c>
      <c r="B106" s="482" t="s">
        <v>150</v>
      </c>
      <c r="C106" s="482">
        <v>136</v>
      </c>
      <c r="D106" s="482">
        <v>63</v>
      </c>
      <c r="E106" s="482" t="s">
        <v>596</v>
      </c>
      <c r="F106" s="482" t="str">
        <f>CONCATENATE(DescontosTE[[#This Row],[Permissionária]],DescontosTE[[#This Row],[codsariSUP]],DescontosTE[[#This Row],[Classe]])</f>
        <v>Cerpro63A4</v>
      </c>
      <c r="G106" s="512">
        <v>0.90147665925690701</v>
      </c>
      <c r="H106" s="512">
        <v>0.67610749444268026</v>
      </c>
      <c r="I106" s="512">
        <v>0.45069999999999999</v>
      </c>
      <c r="J106" s="739">
        <v>0</v>
      </c>
      <c r="K106" s="683">
        <v>0</v>
      </c>
      <c r="L106" s="883">
        <v>0</v>
      </c>
      <c r="M106" s="883">
        <v>0</v>
      </c>
    </row>
    <row r="107" spans="1:13">
      <c r="A107" s="482" t="s">
        <v>605</v>
      </c>
      <c r="B107" s="488" t="s">
        <v>125</v>
      </c>
      <c r="C107" s="482">
        <v>165</v>
      </c>
      <c r="D107" s="482">
        <v>5216</v>
      </c>
      <c r="E107" s="488" t="s">
        <v>596</v>
      </c>
      <c r="F107" s="482" t="str">
        <f>CONCATENATE(DescontosTE[[#This Row],[Permissionária]],DescontosTE[[#This Row],[codsariSUP]],DescontosTE[[#This Row],[Classe]])</f>
        <v>Cerrp5216A4</v>
      </c>
      <c r="G107" s="512">
        <v>0.74668009891015652</v>
      </c>
      <c r="H107" s="512">
        <v>0.56001007418261739</v>
      </c>
      <c r="I107" s="512">
        <v>0.37330000000000002</v>
      </c>
      <c r="J107" s="739">
        <v>0.31390000000000001</v>
      </c>
      <c r="K107" s="683">
        <v>0.31390000000000001</v>
      </c>
      <c r="L107" s="883">
        <v>7.5600000000000001E-2</v>
      </c>
      <c r="M107" s="1639">
        <v>6.0199999999999997E-2</v>
      </c>
    </row>
    <row r="108" spans="1:13">
      <c r="A108" s="482" t="s">
        <v>605</v>
      </c>
      <c r="B108" s="482" t="s">
        <v>150</v>
      </c>
      <c r="C108" s="482">
        <v>136</v>
      </c>
      <c r="D108" s="482">
        <v>63</v>
      </c>
      <c r="E108" s="482" t="s">
        <v>596</v>
      </c>
      <c r="F108" s="482" t="str">
        <f>CONCATENATE(DescontosTE[[#This Row],[Permissionária]],DescontosTE[[#This Row],[codsariSUP]],DescontosTE[[#This Row],[Classe]])</f>
        <v>Cerrp63A4</v>
      </c>
      <c r="G108" s="512">
        <v>0.7457129247380121</v>
      </c>
      <c r="H108" s="512">
        <v>0.55928469355350907</v>
      </c>
      <c r="I108" s="512">
        <v>0.37290000000000001</v>
      </c>
      <c r="J108" s="739">
        <v>0.31390000000000001</v>
      </c>
      <c r="K108" s="683">
        <v>0.31390000000000001</v>
      </c>
      <c r="L108" s="883">
        <v>7.5600000000000001E-2</v>
      </c>
      <c r="M108" s="1639">
        <v>6.0199999999999997E-2</v>
      </c>
    </row>
    <row r="109" spans="1:13">
      <c r="A109" s="482" t="s">
        <v>406</v>
      </c>
      <c r="B109" s="482" t="s">
        <v>189</v>
      </c>
      <c r="C109" s="482">
        <v>111</v>
      </c>
      <c r="D109" s="482">
        <v>5697</v>
      </c>
      <c r="E109" s="482" t="s">
        <v>596</v>
      </c>
      <c r="F109" s="482" t="str">
        <f>CONCATENATE(DescontosTE[[#This Row],[Permissionária]],DescontosTE[[#This Row],[codsariSUP]],DescontosTE[[#This Row],[Classe]])</f>
        <v>Cersul5697A4</v>
      </c>
      <c r="G109" s="512">
        <v>0.6419022741241549</v>
      </c>
      <c r="H109" s="512">
        <v>0.48142670559311618</v>
      </c>
      <c r="I109" s="512">
        <v>0.48139999999999999</v>
      </c>
      <c r="J109" s="514">
        <v>0.48139999999999999</v>
      </c>
      <c r="K109" s="683">
        <v>0.48139999999999999</v>
      </c>
      <c r="L109" s="883">
        <v>0.48139999999999999</v>
      </c>
      <c r="M109" s="1639">
        <v>0.48139999999999999</v>
      </c>
    </row>
    <row r="110" spans="1:13">
      <c r="A110" s="482" t="s">
        <v>406</v>
      </c>
      <c r="B110" s="482" t="s">
        <v>189</v>
      </c>
      <c r="C110" s="482">
        <v>111</v>
      </c>
      <c r="D110" s="482">
        <v>5697</v>
      </c>
      <c r="E110" s="482" t="s">
        <v>598</v>
      </c>
      <c r="F110" s="482" t="str">
        <f>CONCATENATE(DescontosTE[[#This Row],[Permissionária]],DescontosTE[[#This Row],[codsariSUP]],DescontosTE[[#This Row],[Classe]])</f>
        <v>Cersul5697A3</v>
      </c>
      <c r="G110" s="512">
        <v>0.83597111247695144</v>
      </c>
      <c r="H110" s="512">
        <v>0.62697833435771355</v>
      </c>
      <c r="I110" s="512">
        <v>0.59899999999999998</v>
      </c>
      <c r="J110" s="514">
        <v>0.59009999999999996</v>
      </c>
      <c r="K110" s="683">
        <v>0.59009999999999996</v>
      </c>
      <c r="L110" s="883">
        <v>0.55869999999999997</v>
      </c>
      <c r="M110" s="1639">
        <v>0.55869999999999997</v>
      </c>
    </row>
    <row r="111" spans="1:13">
      <c r="A111" s="482" t="s">
        <v>449</v>
      </c>
      <c r="B111" s="482" t="s">
        <v>206</v>
      </c>
      <c r="C111" s="609">
        <v>167</v>
      </c>
      <c r="D111" s="482">
        <v>396</v>
      </c>
      <c r="E111" s="482" t="s">
        <v>598</v>
      </c>
      <c r="F111" s="482" t="str">
        <f>CONCATENATE(DescontosTE[[#This Row],[Permissionária]],DescontosTE[[#This Row],[codsariSUP]],DescontosTE[[#This Row],[Classe]])</f>
        <v>Certaja396A3</v>
      </c>
      <c r="G111" s="512">
        <v>0.8415330252786084</v>
      </c>
      <c r="H111" s="512">
        <v>0.63114976895895625</v>
      </c>
      <c r="I111" s="512">
        <v>0.42080000000000001</v>
      </c>
      <c r="J111" s="514">
        <v>0.21149999999999999</v>
      </c>
      <c r="K111" s="683">
        <v>0</v>
      </c>
      <c r="L111" s="883">
        <v>0</v>
      </c>
      <c r="M111" s="883">
        <v>0</v>
      </c>
    </row>
    <row r="112" spans="1:13">
      <c r="A112" s="482" t="s">
        <v>449</v>
      </c>
      <c r="B112" s="482" t="s">
        <v>206</v>
      </c>
      <c r="C112" s="609">
        <v>167</v>
      </c>
      <c r="D112" s="482">
        <v>396</v>
      </c>
      <c r="E112" s="482" t="s">
        <v>596</v>
      </c>
      <c r="F112" s="482" t="str">
        <f>CONCATENATE(DescontosTE[[#This Row],[Permissionária]],DescontosTE[[#This Row],[codsariSUP]],DescontosTE[[#This Row],[Classe]])</f>
        <v>Certaja396A4</v>
      </c>
      <c r="G112" s="512">
        <v>0.8415330252786084</v>
      </c>
      <c r="H112" s="512">
        <v>0.63114976895895625</v>
      </c>
      <c r="I112" s="512">
        <v>0.42080000000000001</v>
      </c>
      <c r="J112" s="514">
        <v>0.21149999999999999</v>
      </c>
      <c r="K112" s="683">
        <v>0</v>
      </c>
      <c r="L112" s="883">
        <v>0</v>
      </c>
      <c r="M112" s="883">
        <v>0</v>
      </c>
    </row>
    <row r="113" spans="1:13">
      <c r="A113" s="482" t="s">
        <v>449</v>
      </c>
      <c r="B113" s="482" t="s">
        <v>353</v>
      </c>
      <c r="C113" s="482">
        <v>110</v>
      </c>
      <c r="D113" s="482">
        <v>5707</v>
      </c>
      <c r="E113" s="482" t="s">
        <v>596</v>
      </c>
      <c r="F113" s="482" t="str">
        <f>CONCATENATE(DescontosTE[[#This Row],[Permissionária]],DescontosTE[[#This Row],[codsariSUP]],DescontosTE[[#This Row],[Classe]])</f>
        <v>Certaja5707A4</v>
      </c>
      <c r="G113" s="512">
        <v>0.8239405071230177</v>
      </c>
      <c r="H113" s="512">
        <v>0.61795538034226327</v>
      </c>
      <c r="I113" s="512">
        <v>0.41199999999999998</v>
      </c>
      <c r="J113" s="514">
        <v>0.21149999999999999</v>
      </c>
      <c r="K113" s="683">
        <v>0</v>
      </c>
      <c r="L113" s="883">
        <v>0</v>
      </c>
      <c r="M113" s="883">
        <v>0</v>
      </c>
    </row>
    <row r="114" spans="1:13">
      <c r="A114" s="482" t="s">
        <v>201</v>
      </c>
      <c r="B114" s="482" t="s">
        <v>206</v>
      </c>
      <c r="C114" s="609">
        <v>167</v>
      </c>
      <c r="D114" s="482">
        <v>396</v>
      </c>
      <c r="E114" s="482" t="s">
        <v>598</v>
      </c>
      <c r="F114" s="482" t="str">
        <f>CONCATENATE(DescontosTE[[#This Row],[Permissionária]],DescontosTE[[#This Row],[codsariSUP]],DescontosTE[[#This Row],[Classe]])</f>
        <v>Certel396A3</v>
      </c>
      <c r="G114" s="512">
        <v>0.60488390712570062</v>
      </c>
      <c r="H114" s="512">
        <v>0.60488390712570062</v>
      </c>
      <c r="I114" s="512">
        <v>0.60488390712570062</v>
      </c>
      <c r="J114" s="514">
        <v>0.58309999999999995</v>
      </c>
      <c r="K114" s="683">
        <v>0.48330000000000001</v>
      </c>
      <c r="L114" s="883">
        <v>0.35730000000000001</v>
      </c>
      <c r="M114" s="1639">
        <v>0.32969999999999999</v>
      </c>
    </row>
    <row r="115" spans="1:13">
      <c r="A115" s="482" t="s">
        <v>201</v>
      </c>
      <c r="B115" s="482" t="s">
        <v>206</v>
      </c>
      <c r="C115" s="609">
        <v>167</v>
      </c>
      <c r="D115" s="609">
        <v>396</v>
      </c>
      <c r="E115" s="482" t="s">
        <v>596</v>
      </c>
      <c r="F115" s="482" t="str">
        <f>CONCATENATE(DescontosTE[[#This Row],[Permissionária]],DescontosTE[[#This Row],[codsariSUP]],DescontosTE[[#This Row],[Classe]])</f>
        <v>Certel396A4</v>
      </c>
      <c r="G115" s="512">
        <v>0.54613733905579398</v>
      </c>
      <c r="H115" s="512">
        <v>0.54613733905579398</v>
      </c>
      <c r="I115" s="512">
        <v>0.54613733905579398</v>
      </c>
      <c r="J115" s="514">
        <v>0.54610000000000003</v>
      </c>
      <c r="K115" s="683">
        <v>0.48330000000000001</v>
      </c>
      <c r="L115" s="883">
        <v>0.35730000000000001</v>
      </c>
      <c r="M115" s="1639">
        <v>0.32969999999999999</v>
      </c>
    </row>
    <row r="116" spans="1:13">
      <c r="A116" s="482" t="s">
        <v>411</v>
      </c>
      <c r="B116" s="482" t="s">
        <v>189</v>
      </c>
      <c r="C116" s="482">
        <v>111</v>
      </c>
      <c r="D116" s="482">
        <v>5697</v>
      </c>
      <c r="E116" s="482" t="s">
        <v>596</v>
      </c>
      <c r="F116" s="482" t="str">
        <f>CONCATENATE(DescontosTE[[#This Row],[Permissionária]],DescontosTE[[#This Row],[codsariSUP]],DescontosTE[[#This Row],[Classe]])</f>
        <v>Certrel5697A4</v>
      </c>
      <c r="G116" s="512">
        <v>0.88707885968159939</v>
      </c>
      <c r="H116" s="512">
        <v>0.88707885968159939</v>
      </c>
      <c r="I116" s="512">
        <v>0.88707885968159939</v>
      </c>
      <c r="J116" s="514">
        <v>0.81359999999999999</v>
      </c>
      <c r="K116" s="683">
        <v>0.81359999999999999</v>
      </c>
      <c r="L116" s="883">
        <v>0.81359999999999999</v>
      </c>
      <c r="M116" s="1639">
        <v>0.61460000000000004</v>
      </c>
    </row>
    <row r="117" spans="1:13">
      <c r="A117" s="482" t="s">
        <v>339</v>
      </c>
      <c r="B117" s="482" t="s">
        <v>178</v>
      </c>
      <c r="C117" s="482">
        <v>135</v>
      </c>
      <c r="D117" s="482">
        <v>2937</v>
      </c>
      <c r="E117" s="482" t="s">
        <v>596</v>
      </c>
      <c r="F117" s="482" t="str">
        <f>CONCATENATE(DescontosTE[[#This Row],[Permissionária]],DescontosTE[[#This Row],[codsariSUP]],DescontosTE[[#This Row],[Classe]])</f>
        <v>Cetril2937A4</v>
      </c>
      <c r="G117" s="512">
        <v>0.50648278140226277</v>
      </c>
      <c r="H117" s="512">
        <v>0.37986208605169708</v>
      </c>
      <c r="I117" s="512">
        <v>0.1396</v>
      </c>
      <c r="J117" s="514">
        <v>0.1396</v>
      </c>
      <c r="K117" s="683">
        <v>0</v>
      </c>
      <c r="L117" s="883">
        <v>0</v>
      </c>
      <c r="M117" s="883">
        <v>0</v>
      </c>
    </row>
    <row r="118" spans="1:13">
      <c r="A118" s="482" t="s">
        <v>339</v>
      </c>
      <c r="B118" s="482" t="s">
        <v>164</v>
      </c>
      <c r="C118" s="482">
        <v>145</v>
      </c>
      <c r="D118" s="482">
        <v>385</v>
      </c>
      <c r="E118" s="482" t="s">
        <v>596</v>
      </c>
      <c r="F118" s="482" t="str">
        <f>CONCATENATE(DescontosTE[[#This Row],[Permissionária]],DescontosTE[[#This Row],[codsariSUP]],DescontosTE[[#This Row],[Classe]])</f>
        <v>Cetril385A4</v>
      </c>
      <c r="G118" s="512">
        <v>0.66580422595946531</v>
      </c>
      <c r="H118" s="512">
        <v>0.49935316946959896</v>
      </c>
      <c r="I118" s="512">
        <v>0.1396</v>
      </c>
      <c r="J118" s="514">
        <v>0.1396</v>
      </c>
      <c r="K118" s="683">
        <v>0</v>
      </c>
      <c r="L118" s="883">
        <v>0</v>
      </c>
      <c r="M118" s="883">
        <v>0</v>
      </c>
    </row>
    <row r="119" spans="1:13">
      <c r="A119" s="482" t="s">
        <v>188</v>
      </c>
      <c r="B119" s="482" t="s">
        <v>189</v>
      </c>
      <c r="C119" s="482">
        <v>111</v>
      </c>
      <c r="D119" s="482">
        <v>5697</v>
      </c>
      <c r="E119" s="482" t="s">
        <v>598</v>
      </c>
      <c r="F119" s="482" t="str">
        <f>CONCATENATE(DescontosTE[[#This Row],[Permissionária]],DescontosTE[[#This Row],[codsariSUP]],DescontosTE[[#This Row],[Classe]])</f>
        <v>Coopera5697A3</v>
      </c>
      <c r="G119" s="512">
        <v>0.78664720344191763</v>
      </c>
      <c r="H119" s="512">
        <v>0.58998540258143817</v>
      </c>
      <c r="I119" s="512">
        <v>0.58998540258143817</v>
      </c>
      <c r="J119" s="514">
        <v>0.59</v>
      </c>
      <c r="K119" s="683">
        <v>0.59</v>
      </c>
      <c r="L119" s="883">
        <v>0.59</v>
      </c>
      <c r="M119" s="1639">
        <v>0.59</v>
      </c>
    </row>
    <row r="120" spans="1:13">
      <c r="A120" s="482" t="s">
        <v>420</v>
      </c>
      <c r="B120" s="482" t="s">
        <v>189</v>
      </c>
      <c r="C120" s="482">
        <v>111</v>
      </c>
      <c r="D120" s="482">
        <v>5697</v>
      </c>
      <c r="E120" s="482" t="s">
        <v>596</v>
      </c>
      <c r="F120" s="482" t="str">
        <f>CONCATENATE(DescontosTE[[#This Row],[Permissionária]],DescontosTE[[#This Row],[codsariSUP]],DescontosTE[[#This Row],[Classe]])</f>
        <v>Coopercocal5697A4</v>
      </c>
      <c r="G120" s="512">
        <v>0.43784572833435764</v>
      </c>
      <c r="H120" s="512">
        <v>0.43784572833435764</v>
      </c>
      <c r="I120" s="512">
        <v>0.43780000000000002</v>
      </c>
      <c r="J120" s="514">
        <v>0.43780000000000002</v>
      </c>
      <c r="K120" s="683">
        <v>0.43780000000000002</v>
      </c>
      <c r="L120" s="883">
        <v>0.42730000000000001</v>
      </c>
      <c r="M120" s="1639">
        <v>0.42730000000000001</v>
      </c>
    </row>
    <row r="121" spans="1:13">
      <c r="A121" s="482" t="s">
        <v>420</v>
      </c>
      <c r="B121" s="482" t="s">
        <v>189</v>
      </c>
      <c r="C121" s="482">
        <v>111</v>
      </c>
      <c r="D121" s="482">
        <v>5697</v>
      </c>
      <c r="E121" s="482" t="s">
        <v>598</v>
      </c>
      <c r="F121" s="482" t="str">
        <f>CONCATENATE(DescontosTE[[#This Row],[Permissionária]],DescontosTE[[#This Row],[codsariSUP]],DescontosTE[[#This Row],[Classe]])</f>
        <v>Coopercocal5697A3</v>
      </c>
      <c r="G121" s="512">
        <v>0.74423786109403811</v>
      </c>
      <c r="H121" s="512">
        <v>0.74423786109403811</v>
      </c>
      <c r="I121" s="512">
        <v>0.66139999999999999</v>
      </c>
      <c r="J121" s="514">
        <v>0.6452</v>
      </c>
      <c r="K121" s="683">
        <v>0.4995</v>
      </c>
      <c r="L121" s="883">
        <v>0.42730000000000001</v>
      </c>
      <c r="M121" s="1639">
        <v>0.42730000000000001</v>
      </c>
    </row>
    <row r="122" spans="1:13">
      <c r="A122" s="482" t="s">
        <v>420</v>
      </c>
      <c r="B122" s="510" t="s">
        <v>424</v>
      </c>
      <c r="C122" s="510">
        <v>144</v>
      </c>
      <c r="D122" s="510">
        <v>86</v>
      </c>
      <c r="E122" s="482" t="s">
        <v>596</v>
      </c>
      <c r="F122" s="482" t="str">
        <f>CONCATENATE(DescontosTE[[#This Row],[Permissionária]],DescontosTE[[#This Row],[codsariSUP]],DescontosTE[[#This Row],[Classe]])</f>
        <v>Coopercocal86A4</v>
      </c>
      <c r="G122" s="512">
        <v>0.75887474882786332</v>
      </c>
      <c r="H122" s="512">
        <v>0.75887474882786332</v>
      </c>
      <c r="I122" s="512">
        <v>0.66139999999999999</v>
      </c>
      <c r="J122" s="514">
        <v>0.6452</v>
      </c>
      <c r="K122" s="683">
        <v>0.4995</v>
      </c>
      <c r="L122" s="883">
        <v>0.42730000000000001</v>
      </c>
      <c r="M122" s="1639">
        <v>0.42730000000000001</v>
      </c>
    </row>
    <row r="123" spans="1:13">
      <c r="A123" s="482" t="s">
        <v>460</v>
      </c>
      <c r="B123" s="482" t="s">
        <v>206</v>
      </c>
      <c r="C123" s="609">
        <v>167</v>
      </c>
      <c r="D123" s="609">
        <v>396</v>
      </c>
      <c r="E123" s="482" t="s">
        <v>596</v>
      </c>
      <c r="F123" s="482" t="str">
        <f>CONCATENATE(DescontosTE[[#This Row],[Permissionária]],DescontosTE[[#This Row],[codsariSUP]],DescontosTE[[#This Row],[Classe]])</f>
        <v>Cooperluz396A4</v>
      </c>
      <c r="G123" s="512">
        <v>0.81789999999999996</v>
      </c>
      <c r="H123" s="512">
        <v>0.81789999999999996</v>
      </c>
      <c r="I123" s="512">
        <v>0.65900000000000003</v>
      </c>
      <c r="J123" s="514">
        <v>0</v>
      </c>
      <c r="K123" s="683">
        <v>0</v>
      </c>
      <c r="L123" s="883">
        <v>0</v>
      </c>
      <c r="M123" s="883">
        <v>0</v>
      </c>
    </row>
    <row r="124" spans="1:13">
      <c r="A124" s="482" t="s">
        <v>460</v>
      </c>
      <c r="B124" s="482" t="s">
        <v>206</v>
      </c>
      <c r="C124" s="609">
        <v>167</v>
      </c>
      <c r="D124" s="609">
        <v>396</v>
      </c>
      <c r="E124" s="482" t="s">
        <v>598</v>
      </c>
      <c r="F124" s="482" t="str">
        <f>CONCATENATE(DescontosTE[[#This Row],[Permissionária]],DescontosTE[[#This Row],[codsariSUP]],DescontosTE[[#This Row],[Classe]])</f>
        <v>Cooperluz396A3</v>
      </c>
      <c r="G124" s="512">
        <v>0.81789999999999996</v>
      </c>
      <c r="H124" s="512">
        <v>0.81789999999999996</v>
      </c>
      <c r="I124" s="512">
        <v>0.65900000000000003</v>
      </c>
      <c r="J124" s="514">
        <v>0</v>
      </c>
      <c r="K124" s="683">
        <v>0</v>
      </c>
      <c r="L124" s="883">
        <v>0</v>
      </c>
      <c r="M124" s="883">
        <v>0</v>
      </c>
    </row>
    <row r="125" spans="1:13">
      <c r="A125" s="482" t="s">
        <v>427</v>
      </c>
      <c r="B125" s="482" t="s">
        <v>189</v>
      </c>
      <c r="C125" s="482">
        <v>111</v>
      </c>
      <c r="D125" s="482">
        <v>5697</v>
      </c>
      <c r="E125" s="482" t="s">
        <v>596</v>
      </c>
      <c r="F125" s="482" t="str">
        <f>CONCATENATE(DescontosTE[[#This Row],[Permissionária]],DescontosTE[[#This Row],[codsariSUP]],DescontosTE[[#This Row],[Classe]])</f>
        <v>Coopermila5697A4</v>
      </c>
      <c r="G125" s="512">
        <v>0.53672403196066387</v>
      </c>
      <c r="H125" s="512">
        <v>0.4025430239704979</v>
      </c>
      <c r="I125" s="512">
        <v>0.38200000000000001</v>
      </c>
      <c r="J125" s="514">
        <v>0.35849999999999999</v>
      </c>
      <c r="K125" s="683">
        <v>4.9599999999999998E-2</v>
      </c>
      <c r="L125" s="883">
        <v>3.3399999999999999E-2</v>
      </c>
      <c r="M125" s="1639">
        <v>3.3399999999999999E-2</v>
      </c>
    </row>
    <row r="126" spans="1:13">
      <c r="A126" s="482" t="s">
        <v>432</v>
      </c>
      <c r="B126" s="482" t="s">
        <v>189</v>
      </c>
      <c r="C126" s="482">
        <v>111</v>
      </c>
      <c r="D126" s="482">
        <v>5697</v>
      </c>
      <c r="E126" s="482" t="s">
        <v>596</v>
      </c>
      <c r="F126" s="482" t="str">
        <f>CONCATENATE(DescontosTE[[#This Row],[Permissionária]],DescontosTE[[#This Row],[codsariSUP]],DescontosTE[[#This Row],[Classe]])</f>
        <v>Coorsel5697A4</v>
      </c>
      <c r="G126" s="512">
        <v>0.88667793484941604</v>
      </c>
      <c r="H126" s="512">
        <v>0.66500845113706197</v>
      </c>
      <c r="I126" s="512">
        <v>0.36559999999999998</v>
      </c>
      <c r="J126" s="514">
        <v>0.29060000000000002</v>
      </c>
      <c r="K126" s="683">
        <v>2.6599999999999999E-2</v>
      </c>
      <c r="L126" s="883">
        <v>0</v>
      </c>
      <c r="M126" s="883">
        <v>0</v>
      </c>
    </row>
    <row r="127" spans="1:13">
      <c r="A127" s="482" t="s">
        <v>465</v>
      </c>
      <c r="B127" s="482" t="s">
        <v>206</v>
      </c>
      <c r="C127" s="609">
        <v>167</v>
      </c>
      <c r="D127" s="609">
        <v>396</v>
      </c>
      <c r="E127" s="482" t="s">
        <v>601</v>
      </c>
      <c r="F127" s="482" t="str">
        <f>CONCATENATE(DescontosTE[[#This Row],[Permissionária]],DescontosTE[[#This Row],[codsariSUP]],DescontosTE[[#This Row],[Classe]])</f>
        <v>Coprel396A2</v>
      </c>
      <c r="G127" s="512">
        <v>0.63819999999999999</v>
      </c>
      <c r="H127" s="512">
        <v>0.63819999999999999</v>
      </c>
      <c r="I127" s="512">
        <v>0.44450000000000001</v>
      </c>
      <c r="J127" s="514">
        <v>0</v>
      </c>
      <c r="K127" s="683">
        <v>0</v>
      </c>
      <c r="L127" s="883">
        <v>0</v>
      </c>
      <c r="M127" s="883">
        <v>0</v>
      </c>
    </row>
    <row r="128" spans="1:13">
      <c r="A128" s="482" t="s">
        <v>465</v>
      </c>
      <c r="B128" s="482" t="s">
        <v>206</v>
      </c>
      <c r="C128" s="609">
        <v>167</v>
      </c>
      <c r="D128" s="609">
        <v>396</v>
      </c>
      <c r="E128" s="482" t="s">
        <v>598</v>
      </c>
      <c r="F128" s="482" t="str">
        <f>CONCATENATE(DescontosTE[[#This Row],[Permissionária]],DescontosTE[[#This Row],[codsariSUP]],DescontosTE[[#This Row],[Classe]])</f>
        <v>Coprel396A3</v>
      </c>
      <c r="G128" s="512">
        <v>0.63819999999999999</v>
      </c>
      <c r="H128" s="512">
        <v>0.63819999999999999</v>
      </c>
      <c r="I128" s="512">
        <v>0.47870000000000001</v>
      </c>
      <c r="J128" s="514">
        <v>0</v>
      </c>
      <c r="K128" s="683">
        <v>0</v>
      </c>
      <c r="L128" s="883">
        <v>0</v>
      </c>
      <c r="M128" s="883">
        <v>0</v>
      </c>
    </row>
    <row r="129" spans="1:14">
      <c r="A129" s="482" t="s">
        <v>465</v>
      </c>
      <c r="B129" s="482" t="s">
        <v>206</v>
      </c>
      <c r="C129" s="609">
        <v>167</v>
      </c>
      <c r="D129" s="609">
        <v>396</v>
      </c>
      <c r="E129" s="482" t="s">
        <v>596</v>
      </c>
      <c r="F129" s="482" t="str">
        <f>CONCATENATE(DescontosTE[[#This Row],[Permissionária]],DescontosTE[[#This Row],[codsariSUP]],DescontosTE[[#This Row],[Classe]])</f>
        <v>Coprel396A4</v>
      </c>
      <c r="G129" s="512">
        <v>0.53600000000000003</v>
      </c>
      <c r="H129" s="512">
        <v>0.53600000000000003</v>
      </c>
      <c r="I129" s="512">
        <v>0.40200000000000002</v>
      </c>
      <c r="J129" s="514">
        <v>0</v>
      </c>
      <c r="K129" s="683">
        <v>0</v>
      </c>
      <c r="L129" s="883">
        <v>0</v>
      </c>
      <c r="M129" s="883">
        <v>0</v>
      </c>
    </row>
    <row r="130" spans="1:14">
      <c r="A130" s="482" t="s">
        <v>174</v>
      </c>
      <c r="B130" s="482" t="s">
        <v>206</v>
      </c>
      <c r="C130" s="609">
        <v>167</v>
      </c>
      <c r="D130" s="609">
        <v>396</v>
      </c>
      <c r="E130" s="482" t="s">
        <v>596</v>
      </c>
      <c r="F130" s="482" t="str">
        <f>CONCATENATE(DescontosTE[[#This Row],[Permissionária]],DescontosTE[[#This Row],[codsariSUP]],DescontosTE[[#This Row],[Classe]])</f>
        <v>Creluz396A4</v>
      </c>
      <c r="G130" s="512">
        <v>0.83053171196948017</v>
      </c>
      <c r="H130" s="512">
        <v>0.83053171196948017</v>
      </c>
      <c r="I130" s="512">
        <v>0.83053171196948017</v>
      </c>
      <c r="J130" s="514">
        <v>0.34849999999999998</v>
      </c>
      <c r="K130" s="683">
        <v>0.34849999999999998</v>
      </c>
      <c r="L130" s="883">
        <v>0.28499999999999998</v>
      </c>
      <c r="M130" s="1639">
        <v>0.28499999999999998</v>
      </c>
    </row>
    <row r="131" spans="1:14">
      <c r="A131" s="482" t="s">
        <v>476</v>
      </c>
      <c r="B131" s="482" t="s">
        <v>206</v>
      </c>
      <c r="C131" s="609">
        <v>167</v>
      </c>
      <c r="D131" s="609">
        <v>396</v>
      </c>
      <c r="E131" s="482" t="s">
        <v>596</v>
      </c>
      <c r="F131" s="482" t="str">
        <f>CONCATENATE(DescontosTE[[#This Row],[Permissionária]],DescontosTE[[#This Row],[codsariSUP]],DescontosTE[[#This Row],[Classe]])</f>
        <v>Creral396A4</v>
      </c>
      <c r="G131" s="512">
        <v>0.76871721506914636</v>
      </c>
      <c r="H131" s="512">
        <v>0.76871721506914636</v>
      </c>
      <c r="I131" s="512">
        <v>0.76871721506914636</v>
      </c>
      <c r="J131" s="514">
        <v>0.46889999999999998</v>
      </c>
      <c r="K131" s="683">
        <v>0.46889999999999998</v>
      </c>
      <c r="L131" s="883">
        <v>0.214</v>
      </c>
      <c r="M131" s="1639">
        <v>0.214</v>
      </c>
    </row>
    <row r="132" spans="1:14">
      <c r="A132" s="482" t="s">
        <v>476</v>
      </c>
      <c r="B132" s="482" t="s">
        <v>206</v>
      </c>
      <c r="C132" s="609">
        <v>167</v>
      </c>
      <c r="D132" s="609">
        <v>396</v>
      </c>
      <c r="E132" s="482" t="s">
        <v>603</v>
      </c>
      <c r="F132" s="482" t="str">
        <f>CONCATENATE(DescontosTE[[#This Row],[Permissionária]],DescontosTE[[#This Row],[codsariSUP]],DescontosTE[[#This Row],[Classe]])</f>
        <v>Creral396B</v>
      </c>
      <c r="G132" s="512">
        <v>2.0743919885550688E-2</v>
      </c>
      <c r="H132" s="512">
        <v>2.0743919885550688E-2</v>
      </c>
      <c r="I132" s="512">
        <v>2.0743919885550688E-2</v>
      </c>
      <c r="J132" s="514">
        <v>2.07E-2</v>
      </c>
      <c r="K132" s="683">
        <v>2.07E-2</v>
      </c>
      <c r="L132" s="883">
        <v>2.07E-2</v>
      </c>
      <c r="M132" s="1639">
        <v>2.07E-2</v>
      </c>
    </row>
    <row r="133" spans="1:14">
      <c r="A133" s="482" t="s">
        <v>366</v>
      </c>
      <c r="B133" s="488" t="s">
        <v>163</v>
      </c>
      <c r="C133" s="482">
        <v>103</v>
      </c>
      <c r="D133" s="482">
        <v>383</v>
      </c>
      <c r="E133" s="482" t="s">
        <v>596</v>
      </c>
      <c r="F133" s="482" t="str">
        <f>CONCATENATE(DescontosTE[[#This Row],[Permissionária]],DescontosTE[[#This Row],[codsariSUP]],DescontosTE[[#This Row],[Classe]])</f>
        <v>Cerci383A4</v>
      </c>
      <c r="G133" s="512"/>
      <c r="H133" s="512"/>
      <c r="I133" s="512"/>
      <c r="J133" s="514">
        <v>0.38529999999999998</v>
      </c>
      <c r="K133" s="815">
        <v>0.38529999999999998</v>
      </c>
      <c r="L133" s="883">
        <f>DescontosTE[[#This Row],[2019]]</f>
        <v>0.38529999999999998</v>
      </c>
      <c r="M133" s="514">
        <f>DescontosTE[[#This Row],[2020]]</f>
        <v>0.38529999999999998</v>
      </c>
      <c r="N133" s="514">
        <f>DescontosTE[[#This Row],[2020]]</f>
        <v>0.38529999999999998</v>
      </c>
    </row>
    <row r="134" spans="1:14">
      <c r="A134" s="482" t="s">
        <v>196</v>
      </c>
      <c r="B134" s="488" t="s">
        <v>163</v>
      </c>
      <c r="C134" s="482">
        <v>103</v>
      </c>
      <c r="D134" s="482">
        <v>383</v>
      </c>
      <c r="E134" s="482" t="s">
        <v>596</v>
      </c>
      <c r="F134" s="482" t="str">
        <f>CONCATENATE(DescontosTE[[#This Row],[Permissionária]],DescontosTE[[#This Row],[codsariSUP]],DescontosTE[[#This Row],[Classe]])</f>
        <v>Ceral Araruama383A4</v>
      </c>
      <c r="G134" s="512"/>
      <c r="H134" s="512"/>
      <c r="I134" s="512"/>
      <c r="J134" s="514">
        <v>0.38529999999999998</v>
      </c>
      <c r="K134" s="815">
        <v>0.38030000000000003</v>
      </c>
      <c r="L134" s="883">
        <f>DescontosTE[[#This Row],[2019]]</f>
        <v>0.38030000000000003</v>
      </c>
      <c r="M134" s="512">
        <v>0.26430999999999999</v>
      </c>
      <c r="N134" s="512">
        <v>0.26430999999999999</v>
      </c>
    </row>
    <row r="135" spans="1:14">
      <c r="A135" s="482" t="s">
        <v>389</v>
      </c>
      <c r="B135" s="482" t="s">
        <v>206</v>
      </c>
      <c r="C135" s="609">
        <v>167</v>
      </c>
      <c r="D135" s="609">
        <v>396</v>
      </c>
      <c r="E135" s="482" t="s">
        <v>596</v>
      </c>
      <c r="F135" s="482" t="str">
        <f>CONCATENATE(DescontosTE[[#This Row],[Permissionária]],DescontosTE[[#This Row],[codsariSUP]],DescontosTE[[#This Row],[Classe]])</f>
        <v>Cerfox396A4</v>
      </c>
      <c r="G135" s="512"/>
      <c r="H135" s="512"/>
      <c r="I135" s="512"/>
      <c r="J135" s="514">
        <v>0.1401</v>
      </c>
      <c r="K135" s="815">
        <v>0.1401</v>
      </c>
      <c r="L135" s="883">
        <v>0.1401</v>
      </c>
      <c r="M135" s="1639">
        <v>0.1401</v>
      </c>
    </row>
    <row r="136" spans="1:14">
      <c r="A136" s="482" t="s">
        <v>493</v>
      </c>
      <c r="B136" s="482" t="s">
        <v>206</v>
      </c>
      <c r="C136" s="609">
        <v>167</v>
      </c>
      <c r="D136" s="609">
        <v>396</v>
      </c>
      <c r="E136" s="482" t="s">
        <v>596</v>
      </c>
      <c r="F136" s="482" t="str">
        <f>CONCATENATE(DescontosTE[[#This Row],[Permissionária]],DescontosTE[[#This Row],[codsariSUP]],DescontosTE[[#This Row],[Classe]])</f>
        <v>Certhil396A4</v>
      </c>
      <c r="G136" s="512"/>
      <c r="H136" s="512"/>
      <c r="I136" s="512"/>
      <c r="J136" s="514">
        <v>0.25359999999999999</v>
      </c>
      <c r="K136" s="815">
        <v>0.22370000000000001</v>
      </c>
      <c r="L136" s="883">
        <v>0.1273</v>
      </c>
      <c r="M136" s="1639">
        <v>0</v>
      </c>
    </row>
    <row r="137" spans="1:14">
      <c r="A137" s="482" t="s">
        <v>290</v>
      </c>
      <c r="B137" s="482" t="s">
        <v>606</v>
      </c>
      <c r="C137" s="482">
        <v>132</v>
      </c>
      <c r="D137" s="482">
        <v>2866</v>
      </c>
      <c r="E137" s="482" t="s">
        <v>600</v>
      </c>
      <c r="F137" s="482" t="str">
        <f>CONCATENATE(DescontosTE[[#This Row],[Permissionária]],DescontosTE[[#This Row],[codsariSUP]],DescontosTE[[#This Row],[Classe]])</f>
        <v>Castro Dis2866A3a</v>
      </c>
      <c r="G137" s="512"/>
      <c r="H137" s="512"/>
      <c r="I137" s="512"/>
      <c r="J137" s="514">
        <v>0.42030000000000001</v>
      </c>
      <c r="K137" s="815">
        <v>0.42030000000000001</v>
      </c>
      <c r="L137" s="883">
        <v>0.33839999999999998</v>
      </c>
      <c r="M137" s="1639">
        <v>0.33839999999999998</v>
      </c>
    </row>
    <row r="138" spans="1:14">
      <c r="A138" s="482" t="s">
        <v>290</v>
      </c>
      <c r="B138" s="482" t="s">
        <v>606</v>
      </c>
      <c r="C138" s="482">
        <v>132</v>
      </c>
      <c r="D138" s="482">
        <v>2866</v>
      </c>
      <c r="E138" s="482" t="s">
        <v>596</v>
      </c>
      <c r="F138" s="482" t="str">
        <f>CONCATENATE(DescontosTE[[#This Row],[Permissionária]],DescontosTE[[#This Row],[codsariSUP]],DescontosTE[[#This Row],[Classe]])</f>
        <v>Castro Dis2866A4</v>
      </c>
      <c r="G138" s="512"/>
      <c r="H138" s="512"/>
      <c r="I138" s="512"/>
      <c r="J138" s="514">
        <v>0.4153</v>
      </c>
      <c r="K138" s="815">
        <v>0.4153</v>
      </c>
      <c r="L138" s="883">
        <v>0.33839999999999998</v>
      </c>
      <c r="M138" s="1639">
        <v>0.33839999999999998</v>
      </c>
    </row>
    <row r="139" spans="1:14">
      <c r="A139" s="482" t="s">
        <v>509</v>
      </c>
      <c r="B139" s="482" t="s">
        <v>607</v>
      </c>
      <c r="C139" s="482">
        <v>145</v>
      </c>
      <c r="D139" s="482">
        <v>385</v>
      </c>
      <c r="E139" s="482" t="s">
        <v>596</v>
      </c>
      <c r="F139" s="482" t="str">
        <f>CONCATENATE(DescontosTE[[#This Row],[Permissionária]],DescontosTE[[#This Row],[codsariSUP]],DescontosTE[[#This Row],[Classe]])</f>
        <v>Cervam385A4</v>
      </c>
      <c r="G139" s="512"/>
      <c r="H139" s="512"/>
      <c r="I139" s="512"/>
      <c r="J139" s="514">
        <v>0.40989999999999999</v>
      </c>
      <c r="K139" s="815">
        <v>4.3299999999999998E-2</v>
      </c>
      <c r="L139" s="883">
        <v>0</v>
      </c>
      <c r="M139" s="883">
        <v>0</v>
      </c>
    </row>
    <row r="140" spans="1:14">
      <c r="A140" s="482" t="s">
        <v>509</v>
      </c>
      <c r="B140" s="482" t="s">
        <v>150</v>
      </c>
      <c r="C140" s="482">
        <v>136</v>
      </c>
      <c r="D140" s="482">
        <v>63</v>
      </c>
      <c r="E140" s="482" t="s">
        <v>596</v>
      </c>
      <c r="F140" s="482" t="str">
        <f>CONCATENATE(DescontosTE[[#This Row],[Permissionária]],DescontosTE[[#This Row],[codsariSUP]],DescontosTE[[#This Row],[Classe]])</f>
        <v>Cervam63A4</v>
      </c>
      <c r="G140" s="512"/>
      <c r="H140" s="512"/>
      <c r="I140" s="512"/>
      <c r="J140" s="514">
        <v>0.4103</v>
      </c>
      <c r="K140" s="815">
        <v>4.3299999999999998E-2</v>
      </c>
      <c r="L140" s="883">
        <v>0</v>
      </c>
      <c r="M140" s="883">
        <v>0</v>
      </c>
    </row>
    <row r="141" spans="1:14">
      <c r="A141" s="482" t="s">
        <v>186</v>
      </c>
      <c r="B141" s="482" t="s">
        <v>189</v>
      </c>
      <c r="C141" s="482">
        <v>111</v>
      </c>
      <c r="D141" s="482">
        <v>5697</v>
      </c>
      <c r="E141" s="482" t="s">
        <v>601</v>
      </c>
      <c r="F141" s="482" t="str">
        <f>CONCATENATE(DescontosTE[[#This Row],[Permissionária]],DescontosTE[[#This Row],[codsariSUP]],DescontosTE[[#This Row],[Classe]])</f>
        <v>Cegero5697A2</v>
      </c>
      <c r="G141" s="512"/>
      <c r="H141" s="512"/>
      <c r="I141" s="512"/>
      <c r="J141" s="514">
        <v>0.44009999999999999</v>
      </c>
      <c r="K141" s="815">
        <v>0.3735</v>
      </c>
      <c r="L141" s="883">
        <v>0.29289999999999999</v>
      </c>
      <c r="M141" s="1639">
        <v>0.29289999999999999</v>
      </c>
    </row>
    <row r="142" spans="1:14">
      <c r="A142" s="482" t="s">
        <v>471</v>
      </c>
      <c r="B142" s="482" t="s">
        <v>189</v>
      </c>
      <c r="C142" s="482">
        <v>111</v>
      </c>
      <c r="D142" s="482">
        <v>5697</v>
      </c>
      <c r="E142" s="482" t="s">
        <v>596</v>
      </c>
      <c r="F142" s="482" t="str">
        <f>CONCATENATE(DescontosTE[[#This Row],[Permissionária]],DescontosTE[[#This Row],[codsariSUP]],DescontosTE[[#This Row],[Classe]])</f>
        <v>Cersad5697A4</v>
      </c>
      <c r="G142" s="512"/>
      <c r="H142" s="512"/>
      <c r="I142" s="512"/>
      <c r="J142" s="514">
        <v>0.41320000000000001</v>
      </c>
      <c r="K142" s="815">
        <v>0.34079999999999999</v>
      </c>
      <c r="L142" s="883">
        <v>0.25679999999999997</v>
      </c>
      <c r="M142" s="1639">
        <v>0</v>
      </c>
    </row>
    <row r="143" spans="1:14">
      <c r="A143" s="482" t="s">
        <v>520</v>
      </c>
      <c r="B143" s="482" t="s">
        <v>189</v>
      </c>
      <c r="C143" s="482">
        <v>111</v>
      </c>
      <c r="D143" s="482">
        <v>5697</v>
      </c>
      <c r="E143" s="482" t="s">
        <v>601</v>
      </c>
      <c r="F143" s="482" t="str">
        <f>CONCATENATE(DescontosTE[[#This Row],[Permissionária]],DescontosTE[[#This Row],[codsariSUP]],DescontosTE[[#This Row],[Classe]])</f>
        <v>Codesam5697A2</v>
      </c>
      <c r="G143" s="512"/>
      <c r="H143" s="512"/>
      <c r="I143" s="512"/>
      <c r="J143" s="514">
        <v>0.44009999999999999</v>
      </c>
      <c r="K143" s="815">
        <v>0.28170000000000001</v>
      </c>
      <c r="L143" s="883">
        <v>0.25019999999999998</v>
      </c>
      <c r="M143" s="1639">
        <v>0.25019999999999998</v>
      </c>
    </row>
    <row r="144" spans="1:14">
      <c r="A144" s="482" t="s">
        <v>555</v>
      </c>
      <c r="B144" s="482" t="s">
        <v>189</v>
      </c>
      <c r="C144" s="482">
        <v>111</v>
      </c>
      <c r="D144" s="482">
        <v>5697</v>
      </c>
      <c r="E144" s="482" t="s">
        <v>596</v>
      </c>
      <c r="F144" s="482" t="str">
        <f>CONCATENATE(DescontosTE[[#This Row],[Permissionária]],DescontosTE[[#This Row],[codsariSUP]],DescontosTE[[#This Row],[Classe]])</f>
        <v>Cooperzem5697A4</v>
      </c>
      <c r="G144" s="512"/>
      <c r="H144" s="512"/>
      <c r="I144" s="512"/>
      <c r="J144" s="514">
        <v>0.41320000000000001</v>
      </c>
      <c r="K144" s="815">
        <v>0.16650000000000001</v>
      </c>
      <c r="L144" s="883">
        <v>0.1057</v>
      </c>
      <c r="M144" s="1639">
        <v>0.1057</v>
      </c>
    </row>
    <row r="145" spans="1:50">
      <c r="A145" s="482" t="s">
        <v>10</v>
      </c>
      <c r="B145" s="482" t="s">
        <v>353</v>
      </c>
      <c r="C145" s="482">
        <v>110</v>
      </c>
      <c r="D145" s="482">
        <v>5707</v>
      </c>
      <c r="E145" s="482" t="s">
        <v>596</v>
      </c>
      <c r="F145" s="482" t="str">
        <f>CONCATENATE(DescontosTE[[#This Row],[Permissionária]],DescontosTE[[#This Row],[codsariSUP]],DescontosTE[[#This Row],[Classe]])</f>
        <v>Coopersul5707A4</v>
      </c>
      <c r="G145" s="512"/>
      <c r="H145" s="512"/>
      <c r="I145" s="512"/>
      <c r="J145" s="514">
        <v>0.33779999999999999</v>
      </c>
      <c r="K145" s="815">
        <v>0.33779999999999999</v>
      </c>
      <c r="L145" s="883">
        <v>0.20419999999999999</v>
      </c>
      <c r="M145" s="1639">
        <v>9.0499999999999997E-2</v>
      </c>
    </row>
    <row r="146" spans="1:50">
      <c r="A146" s="482" t="s">
        <v>11</v>
      </c>
      <c r="B146" s="482" t="s">
        <v>353</v>
      </c>
      <c r="C146" s="482">
        <v>110</v>
      </c>
      <c r="D146" s="482">
        <v>5707</v>
      </c>
      <c r="E146" s="482" t="s">
        <v>596</v>
      </c>
      <c r="F146" s="482" t="str">
        <f>CONCATENATE(DescontosTE[[#This Row],[Permissionária]],DescontosTE[[#This Row],[codsariSUP]],DescontosTE[[#This Row],[Classe]])</f>
        <v>Coopernorte5707A4</v>
      </c>
      <c r="G146" s="512"/>
      <c r="H146" s="512"/>
      <c r="I146" s="512"/>
      <c r="J146" s="514">
        <v>0.49409999999999998</v>
      </c>
      <c r="K146" s="815">
        <v>0.48630000000000001</v>
      </c>
      <c r="L146" s="883">
        <v>0.37609999999999999</v>
      </c>
      <c r="M146" s="1639">
        <v>0.37609999999999999</v>
      </c>
    </row>
    <row r="147" spans="1:50">
      <c r="A147" s="482" t="s">
        <v>327</v>
      </c>
      <c r="B147" s="482" t="s">
        <v>150</v>
      </c>
      <c r="C147" s="482">
        <v>136</v>
      </c>
      <c r="D147" s="482">
        <v>63</v>
      </c>
      <c r="E147" s="482" t="s">
        <v>601</v>
      </c>
      <c r="F147" s="482" t="str">
        <f>CONCATENATE(DescontosTE[[#This Row],[Permissionária]],DescontosTE[[#This Row],[codsariSUP]],DescontosTE[[#This Row],[Classe]])</f>
        <v>Cemirim63A2</v>
      </c>
      <c r="G147" s="512"/>
      <c r="H147" s="512"/>
      <c r="I147" s="512"/>
      <c r="J147" s="514"/>
      <c r="K147" s="815">
        <v>0.18690000000000001</v>
      </c>
      <c r="L147" s="883">
        <v>0.1603</v>
      </c>
      <c r="M147" s="512">
        <v>0</v>
      </c>
    </row>
    <row r="148" spans="1:50">
      <c r="A148" s="482" t="s">
        <v>327</v>
      </c>
      <c r="B148" s="482" t="s">
        <v>164</v>
      </c>
      <c r="C148" s="482">
        <v>145</v>
      </c>
      <c r="D148" s="482">
        <v>385</v>
      </c>
      <c r="E148" s="482" t="s">
        <v>596</v>
      </c>
      <c r="F148" s="482" t="str">
        <f>CONCATENATE(DescontosTE[[#This Row],[Permissionária]],DescontosTE[[#This Row],[codsariSUP]],DescontosTE[[#This Row],[Classe]])</f>
        <v>Cemirim385A4</v>
      </c>
      <c r="G148" s="512"/>
      <c r="H148" s="512"/>
      <c r="I148" s="512"/>
      <c r="J148" s="514"/>
      <c r="K148" s="815">
        <v>0.18690000000000001</v>
      </c>
      <c r="L148" s="883">
        <v>0.1603</v>
      </c>
      <c r="M148" s="512">
        <v>0</v>
      </c>
    </row>
    <row r="149" spans="1:50">
      <c r="A149" s="482" t="s">
        <v>320</v>
      </c>
      <c r="B149" s="482" t="s">
        <v>206</v>
      </c>
      <c r="C149" s="482">
        <v>167</v>
      </c>
      <c r="D149" s="482">
        <v>396</v>
      </c>
      <c r="E149" s="482" t="s">
        <v>596</v>
      </c>
      <c r="F149" s="482" t="str">
        <f>CONCATENATE(DescontosTE[[#This Row],[Permissionária]],DescontosTE[[#This Row],[codsariSUP]],DescontosTE[[#This Row],[Classe]])</f>
        <v>Celetro396A4</v>
      </c>
      <c r="G149" s="884"/>
      <c r="H149" s="884"/>
      <c r="I149" s="884"/>
      <c r="J149" s="514"/>
      <c r="K149" s="815"/>
      <c r="L149" s="883">
        <v>0.1426</v>
      </c>
      <c r="M149" s="1639">
        <v>0.1426</v>
      </c>
      <c r="AS149" s="871"/>
      <c r="AX149" s="871"/>
    </row>
    <row r="150" spans="1:50">
      <c r="A150" s="482" t="s">
        <v>320</v>
      </c>
      <c r="B150" s="482" t="s">
        <v>608</v>
      </c>
      <c r="C150" s="482">
        <v>164</v>
      </c>
      <c r="D150" s="482">
        <v>400</v>
      </c>
      <c r="E150" s="482" t="s">
        <v>596</v>
      </c>
      <c r="F150" s="482" t="str">
        <f>CONCATENATE(DescontosTE[[#This Row],[Permissionária]],DescontosTE[[#This Row],[codsariSUP]],DescontosTE[[#This Row],[Classe]])</f>
        <v>Celetro400A4</v>
      </c>
      <c r="L150" s="514">
        <v>0.1426</v>
      </c>
      <c r="M150" s="1639">
        <v>0.1426</v>
      </c>
      <c r="AS150" s="871"/>
      <c r="AX150" s="871"/>
    </row>
    <row r="154" spans="1:50">
      <c r="A154" s="656" t="s">
        <v>609</v>
      </c>
    </row>
    <row r="156" spans="1:50">
      <c r="A156" s="9" t="s">
        <v>22</v>
      </c>
      <c r="B156" s="657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2204</v>
      </c>
    </row>
    <row r="157" spans="1:50">
      <c r="A157" s="9" t="s">
        <v>584</v>
      </c>
      <c r="B157" s="658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3">
        <v>585.49</v>
      </c>
      <c r="L157">
        <v>716.79000000000008</v>
      </c>
      <c r="M157" s="418">
        <v>802.08</v>
      </c>
    </row>
    <row r="158" spans="1:50">
      <c r="A158" s="9" t="s">
        <v>584</v>
      </c>
      <c r="B158" s="659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3">
        <v>750.67</v>
      </c>
      <c r="L158">
        <v>694.52</v>
      </c>
      <c r="M158" s="418">
        <v>683.87</v>
      </c>
    </row>
    <row r="159" spans="1:50">
      <c r="A159" s="9" t="s">
        <v>584</v>
      </c>
      <c r="B159" s="658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3">
        <v>687.25</v>
      </c>
      <c r="L159">
        <v>653.32000000000005</v>
      </c>
      <c r="M159" s="418">
        <v>636.51</v>
      </c>
    </row>
    <row r="160" spans="1:50">
      <c r="A160" s="9" t="s">
        <v>584</v>
      </c>
      <c r="B160" s="659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3">
        <v>521.09</v>
      </c>
      <c r="L160">
        <v>586.86</v>
      </c>
      <c r="M160">
        <v>663.81999999999994</v>
      </c>
    </row>
    <row r="161" spans="1:13">
      <c r="A161" s="9" t="s">
        <v>584</v>
      </c>
      <c r="B161" s="658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3">
        <v>531.81000000000006</v>
      </c>
      <c r="L161">
        <v>604.55999999999995</v>
      </c>
      <c r="M161" s="418">
        <v>688.71</v>
      </c>
    </row>
    <row r="162" spans="1:13">
      <c r="A162" s="9" t="s">
        <v>584</v>
      </c>
      <c r="B162" s="659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3">
        <v>627.79</v>
      </c>
      <c r="L162">
        <f>419.13+242.86</f>
        <v>661.99</v>
      </c>
      <c r="M162" s="418">
        <v>820.92</v>
      </c>
    </row>
    <row r="163" spans="1:13">
      <c r="A163" s="9" t="s">
        <v>584</v>
      </c>
      <c r="B163" s="658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3">
        <v>550.73</v>
      </c>
      <c r="L163">
        <f>343.12+245.73</f>
        <v>588.85</v>
      </c>
      <c r="M163" s="418">
        <v>603.04999999999995</v>
      </c>
    </row>
    <row r="164" spans="1:13">
      <c r="A164" s="9" t="s">
        <v>584</v>
      </c>
      <c r="B164" s="659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3">
        <v>601.67000000000007</v>
      </c>
      <c r="L164">
        <f>319.9+262.18</f>
        <v>582.07999999999993</v>
      </c>
      <c r="M164" s="418">
        <v>613.14</v>
      </c>
    </row>
    <row r="165" spans="1:13">
      <c r="A165" s="9" t="s">
        <v>584</v>
      </c>
      <c r="B165" s="658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3">
        <v>589.30000000000007</v>
      </c>
      <c r="L165">
        <v>631.75</v>
      </c>
      <c r="M165" s="418">
        <v>678.01</v>
      </c>
    </row>
    <row r="166" spans="1:13">
      <c r="A166" s="9" t="s">
        <v>584</v>
      </c>
      <c r="B166" s="659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3">
        <v>697.1</v>
      </c>
      <c r="L166">
        <f>452.4+266.08</f>
        <v>718.48</v>
      </c>
      <c r="M166" s="418">
        <v>711.11</v>
      </c>
    </row>
    <row r="167" spans="1:13">
      <c r="A167" s="9" t="s">
        <v>584</v>
      </c>
      <c r="B167" s="658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3">
        <v>616.29</v>
      </c>
      <c r="L167">
        <v>657.39</v>
      </c>
      <c r="M167" s="418">
        <v>548.54000000000008</v>
      </c>
    </row>
    <row r="168" spans="1:13">
      <c r="A168" s="9" t="s">
        <v>584</v>
      </c>
      <c r="B168" s="659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3">
        <v>682.83</v>
      </c>
      <c r="L168">
        <v>725.14</v>
      </c>
      <c r="M168" s="418">
        <v>632.80000000000007</v>
      </c>
    </row>
    <row r="169" spans="1:13">
      <c r="A169" s="9" t="s">
        <v>584</v>
      </c>
      <c r="B169" s="658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3">
        <v>496.86</v>
      </c>
      <c r="L169">
        <v>511.66</v>
      </c>
      <c r="M169" s="418">
        <v>518.32999999999993</v>
      </c>
    </row>
    <row r="170" spans="1:13">
      <c r="A170" s="9" t="s">
        <v>584</v>
      </c>
      <c r="B170" s="659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3">
        <v>663.57999999999993</v>
      </c>
      <c r="L170">
        <v>677.53</v>
      </c>
      <c r="M170" s="418">
        <v>632.93999999999994</v>
      </c>
    </row>
    <row r="171" spans="1:13">
      <c r="A171" s="9" t="s">
        <v>584</v>
      </c>
      <c r="B171" s="658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3">
        <v>544.1</v>
      </c>
      <c r="L171">
        <v>589.07999999999993</v>
      </c>
      <c r="M171" s="661">
        <v>561.9</v>
      </c>
    </row>
    <row r="172" spans="1:13">
      <c r="A172" s="9" t="s">
        <v>584</v>
      </c>
      <c r="B172" s="659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3">
        <v>580.39</v>
      </c>
      <c r="L172">
        <v>610.34</v>
      </c>
      <c r="M172" s="418">
        <v>628.70000000000005</v>
      </c>
    </row>
    <row r="173" spans="1:13">
      <c r="A173" s="9" t="s">
        <v>584</v>
      </c>
      <c r="B173" s="658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3">
        <v>655.47</v>
      </c>
      <c r="L173">
        <v>654.13</v>
      </c>
      <c r="M173" s="418">
        <v>721.68</v>
      </c>
    </row>
    <row r="174" spans="1:13">
      <c r="A174" s="9" t="s">
        <v>584</v>
      </c>
      <c r="B174" s="659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3">
        <v>523.83000000000004</v>
      </c>
      <c r="L174">
        <v>545.07000000000005</v>
      </c>
      <c r="M174" s="418">
        <v>563.88</v>
      </c>
    </row>
    <row r="175" spans="1:13">
      <c r="A175" s="9" t="s">
        <v>584</v>
      </c>
      <c r="B175" s="658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3">
        <v>559.04</v>
      </c>
      <c r="L175">
        <v>605.22</v>
      </c>
      <c r="M175" s="418">
        <v>641.27</v>
      </c>
    </row>
    <row r="176" spans="1:13">
      <c r="A176" s="9" t="s">
        <v>584</v>
      </c>
      <c r="B176" s="659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3">
        <v>562.51</v>
      </c>
      <c r="L176">
        <v>608.16999999999996</v>
      </c>
      <c r="M176" s="418">
        <v>651.74</v>
      </c>
    </row>
    <row r="177" spans="1:13">
      <c r="A177" s="9" t="s">
        <v>584</v>
      </c>
      <c r="B177" s="658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3">
        <v>633.44000000000005</v>
      </c>
      <c r="L177">
        <v>707.06999999999994</v>
      </c>
      <c r="M177" s="418">
        <v>705.72</v>
      </c>
    </row>
    <row r="178" spans="1:13">
      <c r="A178" s="9" t="s">
        <v>584</v>
      </c>
      <c r="B178" s="659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3">
        <v>419.84</v>
      </c>
      <c r="L178">
        <v>440.52000000000004</v>
      </c>
      <c r="M178" s="418">
        <v>466</v>
      </c>
    </row>
    <row r="179" spans="1:13">
      <c r="A179" s="9" t="s">
        <v>584</v>
      </c>
      <c r="B179" s="658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3">
        <v>620.12</v>
      </c>
      <c r="L179">
        <v>691.03000000000009</v>
      </c>
      <c r="M179" s="418">
        <v>729.03</v>
      </c>
    </row>
    <row r="180" spans="1:13">
      <c r="A180" s="9" t="s">
        <v>584</v>
      </c>
      <c r="B180" s="659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3">
        <v>387.09</v>
      </c>
      <c r="L180">
        <v>395.17</v>
      </c>
      <c r="M180" s="418">
        <v>403.03</v>
      </c>
    </row>
    <row r="181" spans="1:13">
      <c r="A181" s="9" t="s">
        <v>584</v>
      </c>
      <c r="B181" s="658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3">
        <v>468.2</v>
      </c>
      <c r="L181">
        <v>502.33000000000004</v>
      </c>
      <c r="M181" s="418">
        <v>550.72</v>
      </c>
    </row>
    <row r="182" spans="1:13">
      <c r="A182" s="9" t="s">
        <v>584</v>
      </c>
      <c r="B182" s="659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3">
        <v>506.32999999999993</v>
      </c>
      <c r="L182">
        <v>538.1</v>
      </c>
      <c r="M182" s="418">
        <v>614.15</v>
      </c>
    </row>
    <row r="183" spans="1:13">
      <c r="A183" s="9" t="s">
        <v>584</v>
      </c>
      <c r="B183" s="658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3">
        <v>592.26</v>
      </c>
      <c r="L183">
        <v>622.27</v>
      </c>
      <c r="M183" s="418">
        <v>648.42999999999995</v>
      </c>
    </row>
    <row r="184" spans="1:13">
      <c r="A184" s="9" t="s">
        <v>584</v>
      </c>
      <c r="B184" s="659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3">
        <v>514.23</v>
      </c>
      <c r="L184">
        <v>496.95</v>
      </c>
      <c r="M184" s="418">
        <v>539.69000000000005</v>
      </c>
    </row>
    <row r="185" spans="1:13">
      <c r="A185" s="9" t="s">
        <v>584</v>
      </c>
      <c r="B185" s="658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3">
        <v>666.96</v>
      </c>
      <c r="L185">
        <v>631.15</v>
      </c>
      <c r="M185" s="418">
        <v>604.07000000000005</v>
      </c>
    </row>
    <row r="186" spans="1:13">
      <c r="A186" s="9" t="s">
        <v>584</v>
      </c>
      <c r="B186" s="659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3">
        <v>616.19999999999993</v>
      </c>
      <c r="L186">
        <f>357.43+226.05</f>
        <v>583.48</v>
      </c>
      <c r="M186" s="418">
        <v>521.44999999999993</v>
      </c>
    </row>
    <row r="187" spans="1:13">
      <c r="A187" s="9" t="s">
        <v>584</v>
      </c>
      <c r="B187" s="658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3">
        <v>458.66</v>
      </c>
      <c r="L187">
        <v>484.06</v>
      </c>
      <c r="M187" s="418">
        <v>508.88999999999993</v>
      </c>
    </row>
    <row r="188" spans="1:13">
      <c r="A188" s="9" t="s">
        <v>584</v>
      </c>
      <c r="B188" s="659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3">
        <v>503.84</v>
      </c>
      <c r="L188">
        <v>506.04</v>
      </c>
      <c r="M188" s="418">
        <v>514.01</v>
      </c>
    </row>
    <row r="189" spans="1:13">
      <c r="A189" s="9" t="s">
        <v>584</v>
      </c>
      <c r="B189" s="658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3">
        <v>571.18000000000006</v>
      </c>
      <c r="L189">
        <f>279.82+218.08</f>
        <v>497.9</v>
      </c>
      <c r="M189" s="418">
        <v>458.09</v>
      </c>
    </row>
    <row r="190" spans="1:13">
      <c r="A190" s="9" t="s">
        <v>584</v>
      </c>
      <c r="B190" s="659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3">
        <v>592.31999999999994</v>
      </c>
      <c r="L190">
        <v>573.04999999999995</v>
      </c>
      <c r="M190" s="418">
        <v>611.82000000000005</v>
      </c>
    </row>
    <row r="191" spans="1:13">
      <c r="A191" s="9" t="s">
        <v>584</v>
      </c>
      <c r="B191" s="658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3">
        <v>607.33000000000004</v>
      </c>
      <c r="L191">
        <v>642.19000000000005</v>
      </c>
      <c r="M191" s="418">
        <v>700.57</v>
      </c>
    </row>
    <row r="192" spans="1:13">
      <c r="A192" s="9" t="s">
        <v>584</v>
      </c>
      <c r="B192" s="659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3">
        <v>469.96</v>
      </c>
      <c r="L192">
        <v>496.82</v>
      </c>
      <c r="M192" s="418">
        <v>587.54</v>
      </c>
    </row>
    <row r="193" spans="1:16">
      <c r="A193" s="9" t="s">
        <v>584</v>
      </c>
      <c r="B193" s="658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3">
        <v>884.76</v>
      </c>
      <c r="L193">
        <f>763.76+204.91</f>
        <v>968.67</v>
      </c>
      <c r="M193">
        <v>1025.47</v>
      </c>
    </row>
    <row r="194" spans="1:16">
      <c r="A194" s="9" t="s">
        <v>584</v>
      </c>
      <c r="B194" s="660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3">
        <v>782.78000000000009</v>
      </c>
      <c r="L194">
        <f>513.49+240.36</f>
        <v>753.85</v>
      </c>
      <c r="M194" s="418">
        <v>761.28</v>
      </c>
    </row>
    <row r="195" spans="1:16">
      <c r="A195" s="9" t="s">
        <v>584</v>
      </c>
      <c r="B195" s="510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3">
        <v>894.62</v>
      </c>
      <c r="L195">
        <f>765.89+213.34</f>
        <v>979.23</v>
      </c>
      <c r="M195">
        <v>1023.74</v>
      </c>
    </row>
    <row r="196" spans="1:16">
      <c r="A196" s="9" t="s">
        <v>584</v>
      </c>
      <c r="B196" s="510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3">
        <v>950.33</v>
      </c>
      <c r="L196">
        <v>1054.05</v>
      </c>
      <c r="M196">
        <v>1107.67</v>
      </c>
      <c r="N196" s="234"/>
    </row>
    <row r="197" spans="1:16">
      <c r="A197" s="9" t="s">
        <v>584</v>
      </c>
      <c r="B197" s="510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3">
        <v>562.08000000000004</v>
      </c>
      <c r="L197">
        <v>611.43999999999994</v>
      </c>
      <c r="M197" s="418">
        <v>660.43</v>
      </c>
      <c r="N197" s="8"/>
    </row>
    <row r="198" spans="1:16">
      <c r="A198" s="9" t="s">
        <v>584</v>
      </c>
      <c r="B198" s="510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3">
        <v>528.30999999999995</v>
      </c>
      <c r="L198">
        <v>564.45999999999992</v>
      </c>
      <c r="M198" s="418">
        <v>597.03</v>
      </c>
      <c r="N198" s="8"/>
    </row>
    <row r="199" spans="1:16">
      <c r="A199" s="9" t="s">
        <v>584</v>
      </c>
      <c r="B199" s="510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3">
        <v>350.78999999999996</v>
      </c>
      <c r="L199">
        <v>369.5</v>
      </c>
      <c r="M199" s="418">
        <v>424.29</v>
      </c>
      <c r="N199" s="8"/>
    </row>
    <row r="200" spans="1:16">
      <c r="A200" s="9" t="s">
        <v>584</v>
      </c>
      <c r="B200" s="510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3">
        <v>667.26</v>
      </c>
      <c r="L200">
        <v>648.54999999999995</v>
      </c>
      <c r="M200" s="418">
        <v>635.66</v>
      </c>
      <c r="N200" s="8"/>
    </row>
    <row r="201" spans="1:16">
      <c r="A201" s="9" t="s">
        <v>584</v>
      </c>
      <c r="B201" s="510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3">
        <v>374.59</v>
      </c>
      <c r="L201">
        <v>366.5</v>
      </c>
      <c r="M201" s="418">
        <v>409.78999999999996</v>
      </c>
      <c r="N201" s="8"/>
    </row>
    <row r="202" spans="1:16">
      <c r="A202" s="9" t="s">
        <v>584</v>
      </c>
      <c r="B202" s="510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3">
        <v>564.18000000000006</v>
      </c>
      <c r="L202">
        <v>604.55000000000007</v>
      </c>
      <c r="M202" s="418">
        <v>472.58</v>
      </c>
      <c r="N202" s="8"/>
    </row>
    <row r="203" spans="1:16">
      <c r="A203" s="9" t="s">
        <v>584</v>
      </c>
      <c r="B203" s="510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3">
        <v>386.85</v>
      </c>
      <c r="L203">
        <v>418.26000000000005</v>
      </c>
      <c r="M203" s="418">
        <v>463.75</v>
      </c>
      <c r="N203" s="8"/>
    </row>
    <row r="204" spans="1:16">
      <c r="A204" s="9" t="s">
        <v>584</v>
      </c>
      <c r="B204" s="510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3">
        <v>559.9</v>
      </c>
      <c r="L204">
        <f>357.17+229.26</f>
        <v>586.43000000000006</v>
      </c>
      <c r="M204" s="418">
        <v>662.51</v>
      </c>
      <c r="N204" s="8"/>
    </row>
    <row r="205" spans="1:16">
      <c r="A205" s="9" t="s">
        <v>584</v>
      </c>
      <c r="B205" s="510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3">
        <v>595.43999999999994</v>
      </c>
      <c r="L205">
        <f>413.48+197.81</f>
        <v>611.29</v>
      </c>
      <c r="M205" s="418">
        <v>640.98</v>
      </c>
    </row>
    <row r="206" spans="1:16">
      <c r="A206" s="9" t="s">
        <v>584</v>
      </c>
      <c r="B206" s="510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3">
        <v>735.09</v>
      </c>
      <c r="L206">
        <f>616.69+148.58</f>
        <v>765.2700000000001</v>
      </c>
      <c r="M206" s="418">
        <v>815.69</v>
      </c>
    </row>
    <row r="207" spans="1:16">
      <c r="A207" s="266" t="s">
        <v>584</v>
      </c>
      <c r="B207" s="809" t="s">
        <v>327</v>
      </c>
      <c r="C207" s="234"/>
      <c r="D207" s="234"/>
      <c r="E207" s="234"/>
      <c r="F207" s="234"/>
      <c r="G207" s="234"/>
      <c r="H207" s="234"/>
      <c r="K207" s="813">
        <v>470.82</v>
      </c>
      <c r="L207">
        <f>281.75+226.45</f>
        <v>508.2</v>
      </c>
      <c r="M207" s="418">
        <v>536.98</v>
      </c>
    </row>
    <row r="208" spans="1:16">
      <c r="A208" s="266" t="s">
        <v>584</v>
      </c>
      <c r="B208" s="809" t="s">
        <v>320</v>
      </c>
      <c r="C208" s="234"/>
      <c r="D208" s="234"/>
      <c r="E208" s="234"/>
      <c r="F208" s="234"/>
      <c r="G208" s="234"/>
      <c r="H208" s="234"/>
      <c r="K208" s="813"/>
      <c r="L208">
        <f>357.76+231.81</f>
        <v>589.56999999999994</v>
      </c>
      <c r="M208" s="418">
        <v>677.96999999999991</v>
      </c>
      <c r="O208" s="864" t="s">
        <v>615</v>
      </c>
      <c r="P208" s="865">
        <v>968.67</v>
      </c>
    </row>
    <row r="209" spans="1:50">
      <c r="A209" s="9" t="s">
        <v>27</v>
      </c>
      <c r="B209" s="488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3">
        <f>397.32+270.9</f>
        <v>668.22</v>
      </c>
      <c r="L209">
        <v>683.67</v>
      </c>
      <c r="M209" s="521">
        <v>714.43999999999994</v>
      </c>
      <c r="N209">
        <v>838.02</v>
      </c>
      <c r="O209" s="864" t="s">
        <v>616</v>
      </c>
      <c r="P209" s="865" t="e">
        <v>#N/A</v>
      </c>
    </row>
    <row r="210" spans="1:50">
      <c r="A210" s="9" t="s">
        <v>27</v>
      </c>
      <c r="B210" s="488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3">
        <v>469.78</v>
      </c>
      <c r="L210">
        <v>505.99000000000007</v>
      </c>
      <c r="M210" s="418">
        <v>532.24</v>
      </c>
      <c r="O210" s="864" t="s">
        <v>617</v>
      </c>
      <c r="P210" s="865" t="e">
        <v>#N/A</v>
      </c>
    </row>
    <row r="211" spans="1:50">
      <c r="A211" s="9" t="s">
        <v>27</v>
      </c>
      <c r="B211" s="488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8">
        <f>252.99+244.36</f>
        <v>497.35</v>
      </c>
      <c r="L211">
        <v>513.89</v>
      </c>
      <c r="M211" s="418">
        <v>572.45999999999992</v>
      </c>
      <c r="O211" s="864" t="s">
        <v>618</v>
      </c>
      <c r="P211" s="865" t="e">
        <v>#N/A</v>
      </c>
    </row>
    <row r="212" spans="1:50">
      <c r="A212" s="9" t="s">
        <v>27</v>
      </c>
      <c r="B212" s="488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3">
        <v>517.61</v>
      </c>
      <c r="L212">
        <v>512.77</v>
      </c>
      <c r="M212" s="418">
        <v>558.81000000000006</v>
      </c>
      <c r="O212" s="864" t="s">
        <v>619</v>
      </c>
      <c r="P212" s="865" t="e">
        <v>#N/A</v>
      </c>
    </row>
    <row r="213" spans="1:50">
      <c r="A213" s="9" t="s">
        <v>27</v>
      </c>
      <c r="B213" s="488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3">
        <v>523.02</v>
      </c>
      <c r="L213">
        <v>550.20000000000005</v>
      </c>
      <c r="M213">
        <v>595.66</v>
      </c>
      <c r="N213">
        <v>678.65</v>
      </c>
      <c r="O213" s="864" t="s">
        <v>620</v>
      </c>
      <c r="P213" s="865" t="e">
        <v>#N/A</v>
      </c>
    </row>
    <row r="214" spans="1:50">
      <c r="A214" s="9" t="s">
        <v>27</v>
      </c>
      <c r="B214" s="488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3">
        <v>490.18</v>
      </c>
      <c r="L214">
        <v>533.54999999999995</v>
      </c>
      <c r="M214" s="418">
        <v>619.94000000000005</v>
      </c>
      <c r="O214" s="864" t="s">
        <v>621</v>
      </c>
      <c r="P214" s="865">
        <v>586.86</v>
      </c>
    </row>
    <row r="215" spans="1:50">
      <c r="A215" s="9" t="s">
        <v>27</v>
      </c>
      <c r="B215" s="488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3">
        <f>303.99+243.7</f>
        <v>547.69000000000005</v>
      </c>
      <c r="L215">
        <v>541.15</v>
      </c>
      <c r="M215" s="873">
        <v>564.97</v>
      </c>
      <c r="N215">
        <v>606.77</v>
      </c>
      <c r="O215" s="864" t="s">
        <v>622</v>
      </c>
      <c r="P215" s="865" t="e">
        <v>#N/A</v>
      </c>
    </row>
    <row r="216" spans="1:50">
      <c r="A216" s="9" t="s">
        <v>27</v>
      </c>
      <c r="B216" s="488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1">
        <v>487.3</v>
      </c>
      <c r="J216">
        <f>241.74+319.79</f>
        <v>561.53</v>
      </c>
      <c r="K216" s="813">
        <v>525.73</v>
      </c>
      <c r="L216" s="661">
        <v>546.10945347732809</v>
      </c>
      <c r="M216" s="418">
        <v>635.92000000000007</v>
      </c>
      <c r="N216" s="862"/>
      <c r="O216" s="864" t="s">
        <v>623</v>
      </c>
      <c r="P216" s="865" t="e">
        <v>#N/A</v>
      </c>
    </row>
    <row r="217" spans="1:50">
      <c r="A217" s="9" t="s">
        <v>27</v>
      </c>
      <c r="B217" s="488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3">
        <v>531.87</v>
      </c>
      <c r="L217" s="661">
        <v>555.04999999999995</v>
      </c>
      <c r="M217" s="418">
        <v>622.58000000000004</v>
      </c>
      <c r="O217" s="864" t="s">
        <v>624</v>
      </c>
      <c r="P217" s="865" t="e">
        <v>#N/A</v>
      </c>
    </row>
    <row r="218" spans="1:50">
      <c r="A218" s="9" t="s">
        <v>27</v>
      </c>
      <c r="B218" s="488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3">
        <v>515.59</v>
      </c>
      <c r="L218" s="661">
        <v>534.19000000000005</v>
      </c>
      <c r="M218" s="418">
        <v>594.49</v>
      </c>
      <c r="O218" s="864" t="s">
        <v>625</v>
      </c>
      <c r="P218" s="865" t="e">
        <v>#N/A</v>
      </c>
    </row>
    <row r="219" spans="1:50">
      <c r="A219" s="9" t="s">
        <v>27</v>
      </c>
      <c r="B219" s="488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3">
        <v>530.72</v>
      </c>
      <c r="L219" s="661">
        <v>535.51</v>
      </c>
      <c r="M219" s="234">
        <v>580.43681504518099</v>
      </c>
      <c r="N219">
        <v>677.99</v>
      </c>
      <c r="O219" s="864" t="s">
        <v>626</v>
      </c>
      <c r="P219" s="865" t="e">
        <v>#N/A</v>
      </c>
    </row>
    <row r="220" spans="1:50">
      <c r="A220" s="9" t="s">
        <v>27</v>
      </c>
      <c r="B220" s="488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3">
        <v>560.27</v>
      </c>
      <c r="L220" s="661">
        <v>589.57000000000005</v>
      </c>
      <c r="M220" s="418">
        <v>643.09</v>
      </c>
      <c r="O220" s="864" t="s">
        <v>627</v>
      </c>
      <c r="P220" s="865" t="e">
        <v>#N/A</v>
      </c>
    </row>
    <row r="221" spans="1:50">
      <c r="A221" t="s">
        <v>27</v>
      </c>
      <c r="B221" s="482" t="s">
        <v>353</v>
      </c>
      <c r="J221">
        <v>547.6</v>
      </c>
      <c r="K221" s="813">
        <v>515.07000000000005</v>
      </c>
      <c r="L221">
        <v>548.96999999999991</v>
      </c>
      <c r="M221" s="418">
        <v>629.70000000000005</v>
      </c>
      <c r="O221" s="864" t="s">
        <v>628</v>
      </c>
      <c r="P221" s="865" t="e">
        <v>#N/A</v>
      </c>
    </row>
    <row r="222" spans="1:50">
      <c r="A222" t="s">
        <v>27</v>
      </c>
      <c r="B222" s="482" t="s">
        <v>608</v>
      </c>
      <c r="K222" s="813"/>
      <c r="L222">
        <v>571.71</v>
      </c>
      <c r="M222" s="418">
        <v>605.55000000000007</v>
      </c>
      <c r="O222" s="864" t="s">
        <v>629</v>
      </c>
      <c r="P222" s="885" t="e">
        <v>#N/A</v>
      </c>
      <c r="AS222" s="871"/>
      <c r="AX222" s="871"/>
    </row>
    <row r="223" spans="1:50">
      <c r="O223" s="864" t="s">
        <v>630</v>
      </c>
      <c r="P223" s="865" t="e">
        <v>#N/A</v>
      </c>
    </row>
    <row r="224" spans="1:50">
      <c r="O224" s="864" t="s">
        <v>631</v>
      </c>
      <c r="P224" s="865" t="e">
        <v>#N/A</v>
      </c>
    </row>
    <row r="225" spans="11:16">
      <c r="K225" s="865">
        <v>547.69000000000005</v>
      </c>
      <c r="O225" s="864" t="s">
        <v>632</v>
      </c>
      <c r="P225" s="865" t="e">
        <v>#N/A</v>
      </c>
    </row>
    <row r="226" spans="11:16">
      <c r="O226" s="864" t="s">
        <v>633</v>
      </c>
      <c r="P226" s="865" t="e">
        <v>#N/A</v>
      </c>
    </row>
    <row r="227" spans="11:16">
      <c r="O227" s="864" t="s">
        <v>634</v>
      </c>
      <c r="P227" s="866" t="e">
        <v>#N/A</v>
      </c>
    </row>
    <row r="228" spans="11:16">
      <c r="O228" s="864" t="s">
        <v>635</v>
      </c>
      <c r="P228" s="866" t="e">
        <v>#N/A</v>
      </c>
    </row>
    <row r="229" spans="11:16">
      <c r="O229" s="864" t="s">
        <v>636</v>
      </c>
      <c r="P229" s="866" t="e">
        <v>#N/A</v>
      </c>
    </row>
    <row r="230" spans="11:16">
      <c r="O230" s="864" t="s">
        <v>637</v>
      </c>
      <c r="P230" s="866" t="e">
        <v>#N/A</v>
      </c>
    </row>
    <row r="231" spans="11:16">
      <c r="O231" s="864" t="s">
        <v>638</v>
      </c>
      <c r="P231" s="866" t="e">
        <v>#N/A</v>
      </c>
    </row>
    <row r="232" spans="11:16">
      <c r="O232" s="864" t="s">
        <v>639</v>
      </c>
      <c r="P232" s="866" t="e">
        <v>#N/A</v>
      </c>
    </row>
    <row r="233" spans="11:16">
      <c r="O233" s="864" t="s">
        <v>640</v>
      </c>
      <c r="P233" s="866" t="e">
        <v>#N/A</v>
      </c>
    </row>
    <row r="234" spans="11:16">
      <c r="O234" s="864" t="s">
        <v>641</v>
      </c>
      <c r="P234" s="866" t="e">
        <v>#N/A</v>
      </c>
    </row>
    <row r="235" spans="11:16">
      <c r="O235" s="864" t="s">
        <v>642</v>
      </c>
      <c r="P235" s="866">
        <v>979.23</v>
      </c>
    </row>
    <row r="236" spans="11:16">
      <c r="O236" s="864" t="s">
        <v>643</v>
      </c>
      <c r="P236" s="866">
        <v>1054.05</v>
      </c>
    </row>
  </sheetData>
  <sortState xmlns:xlrd2="http://schemas.microsoft.com/office/spreadsheetml/2017/richdata2" ref="AR10:AR61">
    <sortCondition ref="AR10:AR61"/>
  </sortState>
  <phoneticPr fontId="111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tabSelected="1" topLeftCell="A19" workbookViewId="0">
      <selection activeCell="C28" sqref="C28:D28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7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7" customWidth="1"/>
    <col min="67" max="67" width="12.42578125" style="487" customWidth="1"/>
    <col min="68" max="68" width="12" style="487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8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90" t="s">
        <v>2274</v>
      </c>
      <c r="C1" s="1091"/>
      <c r="D1" s="1091"/>
      <c r="M1" s="548"/>
      <c r="P1" s="908" t="str">
        <f>IF((VLOOKUP(LnkTXTSigla,Informacoes[],5,FALSE))="8.4","VERDADEIRO","FALSO")</f>
        <v>VERDADEIRO</v>
      </c>
      <c r="Q1" s="908" t="s">
        <v>644</v>
      </c>
      <c r="BA1" s="486"/>
      <c r="BB1" s="486"/>
      <c r="BC1" s="486"/>
      <c r="BD1" s="486"/>
    </row>
    <row r="2" spans="1:84" ht="25.5">
      <c r="B2" s="549" t="str">
        <f>CAPA!C9</f>
        <v>Cercos</v>
      </c>
      <c r="C2" s="639"/>
      <c r="D2" s="550"/>
      <c r="E2" s="590" t="s">
        <v>645</v>
      </c>
      <c r="F2" s="590"/>
      <c r="G2" s="590"/>
      <c r="H2" s="617" t="s">
        <v>2235</v>
      </c>
      <c r="M2" s="548"/>
      <c r="AK2" s="487"/>
      <c r="AZ2" s="1692" t="s">
        <v>646</v>
      </c>
      <c r="BA2" s="1693"/>
      <c r="BB2" s="1693"/>
      <c r="BC2" s="1693"/>
      <c r="BD2" s="1693"/>
      <c r="BE2" s="1693"/>
      <c r="BF2" s="1693"/>
      <c r="BG2" s="488"/>
      <c r="BM2" s="491"/>
      <c r="BW2" s="422"/>
      <c r="BX2" s="422"/>
      <c r="BY2" s="422"/>
      <c r="BZ2" s="422"/>
      <c r="CA2" s="422"/>
      <c r="CB2" s="422"/>
      <c r="CC2" s="422"/>
      <c r="CD2" s="422"/>
      <c r="CE2" s="422"/>
      <c r="CF2" s="518"/>
    </row>
    <row r="3" spans="1:84">
      <c r="C3" s="562"/>
      <c r="E3" s="585" t="s">
        <v>2201</v>
      </c>
      <c r="F3" s="585"/>
      <c r="G3" s="585"/>
      <c r="H3" s="538"/>
      <c r="M3" s="548"/>
      <c r="O3" s="381">
        <f>VALUE(RIGHT(P3,2))</f>
        <v>54</v>
      </c>
      <c r="P3" s="1092" t="str">
        <f>VLOOKUP($C$9,Informacoes[],4,FALSE)</f>
        <v>C54</v>
      </c>
      <c r="Q3" s="1092" t="str">
        <f>VLOOKUP($C$9,Informacoes[],2,FALSE)</f>
        <v>Cooperativa de Eletrificação e Desenvolvimento Rural Centro Sul de Sergipe Ltda</v>
      </c>
      <c r="AH3" s="489"/>
      <c r="AI3" s="487"/>
      <c r="BA3" s="486"/>
      <c r="BB3" s="486"/>
      <c r="BC3" s="486"/>
      <c r="BD3" s="486"/>
      <c r="BM3" s="17"/>
      <c r="BQ3" s="490"/>
      <c r="BW3" s="422"/>
      <c r="BX3" s="422"/>
      <c r="BY3" s="422"/>
      <c r="BZ3" s="422"/>
      <c r="CA3" s="422"/>
      <c r="CB3" s="422"/>
      <c r="CC3" s="422"/>
      <c r="CD3" s="422"/>
      <c r="CE3" s="422"/>
      <c r="CF3" s="518"/>
    </row>
    <row r="4" spans="1:84">
      <c r="E4" s="776" t="s">
        <v>2202</v>
      </c>
      <c r="F4" s="776"/>
      <c r="G4" s="776"/>
      <c r="H4" s="804"/>
      <c r="I4" s="551"/>
      <c r="M4" s="548"/>
      <c r="AZ4" s="908"/>
      <c r="BA4" s="1093">
        <v>40940</v>
      </c>
      <c r="BB4" s="1093" t="s">
        <v>611</v>
      </c>
      <c r="BC4" s="1093">
        <v>41306</v>
      </c>
      <c r="BD4" s="1093">
        <v>41671</v>
      </c>
      <c r="BE4" s="1094">
        <v>42036</v>
      </c>
      <c r="BF4" s="1095">
        <v>42401</v>
      </c>
      <c r="BG4" s="1095">
        <v>42767</v>
      </c>
      <c r="BI4" s="1096"/>
      <c r="BJ4" s="1096"/>
      <c r="BK4" s="1096"/>
      <c r="BL4" s="1096"/>
      <c r="BM4" s="1097"/>
      <c r="BN4" s="1097"/>
      <c r="BO4" s="1097"/>
      <c r="BP4" s="1097"/>
      <c r="BQ4" s="1097"/>
      <c r="BR4" s="1097"/>
      <c r="BS4" s="1097"/>
      <c r="BT4" s="1097"/>
      <c r="BU4" s="1097"/>
      <c r="BV4" s="495"/>
      <c r="BW4" s="422"/>
      <c r="BX4" s="422"/>
      <c r="BY4" s="422"/>
      <c r="BZ4" s="422"/>
      <c r="CA4" s="422"/>
      <c r="CB4" s="422"/>
      <c r="CC4" s="422"/>
      <c r="CD4" s="422"/>
      <c r="CE4" s="422"/>
      <c r="CF4" s="422"/>
    </row>
    <row r="5" spans="1:84">
      <c r="E5" s="776" t="s">
        <v>647</v>
      </c>
      <c r="F5" s="776"/>
      <c r="G5" s="776"/>
      <c r="H5" s="787" t="s">
        <v>2236</v>
      </c>
      <c r="I5" s="551"/>
      <c r="M5" s="548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2"/>
      <c r="I6" s="551"/>
      <c r="N6" s="553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4"/>
      <c r="B7" s="544" t="s">
        <v>648</v>
      </c>
      <c r="C7" s="555"/>
      <c r="D7" s="555"/>
      <c r="E7" s="556"/>
      <c r="F7" s="556"/>
      <c r="G7" s="556"/>
      <c r="H7" s="536"/>
      <c r="I7" s="537"/>
      <c r="J7" s="556"/>
      <c r="K7" s="557"/>
      <c r="L7" s="558"/>
      <c r="M7" s="559"/>
      <c r="N7" s="560"/>
      <c r="O7" s="9"/>
      <c r="Q7" s="539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3"/>
      <c r="O8" s="9"/>
      <c r="P8" s="275"/>
      <c r="Q8" s="785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3" t="s">
        <v>114</v>
      </c>
      <c r="C9" s="1098" t="s">
        <v>371</v>
      </c>
      <c r="D9" s="9"/>
      <c r="E9" s="1694" t="s">
        <v>649</v>
      </c>
      <c r="F9" s="1695"/>
      <c r="G9" s="1695"/>
      <c r="H9" s="1695"/>
      <c r="I9" s="608"/>
      <c r="J9" s="494" t="s">
        <v>650</v>
      </c>
      <c r="K9" s="9"/>
      <c r="L9" s="9"/>
      <c r="M9" s="561"/>
      <c r="N9" s="553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99" t="s">
        <v>651</v>
      </c>
      <c r="C10" s="1100" t="str">
        <f>IF(C9="Cercos","N/NE","S/SE/CO")</f>
        <v>N/NE</v>
      </c>
      <c r="D10" s="9"/>
      <c r="E10" s="612"/>
      <c r="F10" s="613" t="s">
        <v>652</v>
      </c>
      <c r="G10" s="614">
        <v>44678.679351851853</v>
      </c>
      <c r="H10" s="1101"/>
      <c r="I10" s="609"/>
      <c r="J10" s="775" t="s">
        <v>653</v>
      </c>
      <c r="K10" s="1102">
        <f>IFERROR(O3+200,0)</f>
        <v>254</v>
      </c>
      <c r="L10" s="598"/>
      <c r="M10" s="561"/>
      <c r="N10" s="553"/>
      <c r="O10" s="9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2"/>
      <c r="F11" s="613" t="s">
        <v>654</v>
      </c>
      <c r="G11" s="614">
        <v>44692.473321759258</v>
      </c>
      <c r="H11" s="610"/>
      <c r="I11" s="611"/>
      <c r="J11" s="585" t="s">
        <v>655</v>
      </c>
      <c r="K11" s="616">
        <v>5377</v>
      </c>
      <c r="L11" s="598"/>
      <c r="M11" s="561"/>
      <c r="N11" s="553"/>
      <c r="O11" s="9"/>
      <c r="Q11" s="539"/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2"/>
      <c r="B12" s="494" t="s">
        <v>656</v>
      </c>
      <c r="C12" s="9"/>
      <c r="D12" s="9"/>
      <c r="E12" s="612"/>
      <c r="F12" s="613" t="s">
        <v>825</v>
      </c>
      <c r="G12" s="614">
        <v>44693.648877314816</v>
      </c>
      <c r="H12" s="610"/>
      <c r="I12" s="611"/>
      <c r="J12" s="776" t="s">
        <v>657</v>
      </c>
      <c r="K12" s="786">
        <f>idagente</f>
        <v>5377</v>
      </c>
      <c r="L12" s="598"/>
      <c r="M12" s="561"/>
      <c r="N12" s="553"/>
      <c r="O12" s="9"/>
      <c r="Q12" s="539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2"/>
      <c r="B13" s="603" t="s">
        <v>658</v>
      </c>
      <c r="C13" s="1103">
        <f ca="1">YEAR(TODAY())</f>
        <v>2022</v>
      </c>
      <c r="D13" s="266"/>
      <c r="E13" s="612"/>
      <c r="F13" s="613" t="s">
        <v>659</v>
      </c>
      <c r="G13" s="614">
        <v>44691.688715277778</v>
      </c>
      <c r="H13" s="610"/>
      <c r="I13" s="9"/>
      <c r="J13" s="494" t="s">
        <v>660</v>
      </c>
      <c r="K13" s="9"/>
      <c r="L13" s="598"/>
      <c r="M13" s="563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4" t="s">
        <v>661</v>
      </c>
      <c r="C14" s="605">
        <v>44345</v>
      </c>
      <c r="D14" s="266"/>
      <c r="E14" s="612"/>
      <c r="F14" s="613" t="s">
        <v>662</v>
      </c>
      <c r="G14" s="614">
        <v>44691.68886574074</v>
      </c>
      <c r="H14" s="610"/>
      <c r="I14" s="9"/>
      <c r="J14" s="775" t="s">
        <v>663</v>
      </c>
      <c r="K14" s="1102">
        <f>VLOOKUP(SAS_RA0_DataFim,Índices!$B$7:$F$500,2,FALSE)</f>
        <v>1177.809</v>
      </c>
      <c r="L14" s="598"/>
      <c r="M14" s="563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4" t="s">
        <v>664</v>
      </c>
      <c r="C15" s="606">
        <v>44710</v>
      </c>
      <c r="D15" s="266"/>
      <c r="E15" s="612"/>
      <c r="F15" s="613" t="s">
        <v>665</v>
      </c>
      <c r="G15" s="614">
        <v>44692.477650462963</v>
      </c>
      <c r="H15" s="615"/>
      <c r="I15" s="9"/>
      <c r="J15" s="585" t="s">
        <v>666</v>
      </c>
      <c r="K15" s="616">
        <f>VLOOKUP(SAS_RA0_DataFim,Índices!$B$7:$F$500,3,FALSE)</f>
        <v>6382.88</v>
      </c>
      <c r="L15" s="598"/>
      <c r="M15" s="563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4" t="s">
        <v>224</v>
      </c>
      <c r="C16" s="607">
        <f>DATE(YEAR(C14),MONTH(C14),1)</f>
        <v>44317</v>
      </c>
      <c r="D16" s="266"/>
      <c r="E16" s="612"/>
      <c r="F16" s="613" t="s">
        <v>667</v>
      </c>
      <c r="G16" s="614">
        <v>44678.685752314814</v>
      </c>
      <c r="H16" s="1104"/>
      <c r="I16" s="9"/>
      <c r="J16" s="585" t="s">
        <v>668</v>
      </c>
      <c r="K16" s="592">
        <f>K14/VLOOKUP(DATE(YEAR(SAS_RA0_DataInicio),MONTH(SAS_RA0_DataInicio)-1,DAY(SAS_RA0_DataInicio)),Índices!$B$7:$F$500,2,FALSE)-1</f>
        <v>0.14660863250101475</v>
      </c>
      <c r="L16" s="598"/>
      <c r="M16" s="563"/>
      <c r="O16" s="9"/>
      <c r="Q16" s="539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4" t="s">
        <v>226</v>
      </c>
      <c r="C17" s="607">
        <f>DATE(YEAR(C15),MONTH(C15)-1,1)</f>
        <v>44652</v>
      </c>
      <c r="D17" s="266"/>
      <c r="E17" s="612"/>
      <c r="F17" s="613" t="s">
        <v>669</v>
      </c>
      <c r="G17" s="614">
        <v>44678.686006944445</v>
      </c>
      <c r="H17" s="9"/>
      <c r="I17" s="375"/>
      <c r="J17" s="585" t="s">
        <v>670</v>
      </c>
      <c r="K17" s="1105">
        <f>K15/VLOOKUP(DATE(YEAR(SAS_RA0_DataInicio),MONTH(SAS_RA0_DataInicio)-1,DAY(SAS_RA0_DataInicio)),Índices!$B$7:$F$500,3,FALSE)-1</f>
        <v>0.12131630216906664</v>
      </c>
      <c r="L17" s="9"/>
      <c r="M17" s="563"/>
      <c r="O17" s="9"/>
      <c r="Q17" s="539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4" t="s">
        <v>671</v>
      </c>
      <c r="C18" s="863" t="str">
        <f ca="1">C110</f>
        <v>REAJUSTE</v>
      </c>
      <c r="D18" s="266"/>
      <c r="E18" s="612"/>
      <c r="F18" s="613" t="s">
        <v>36</v>
      </c>
      <c r="G18" s="614">
        <v>44678.686168981483</v>
      </c>
      <c r="I18" s="375"/>
      <c r="J18" s="590" t="s">
        <v>672</v>
      </c>
      <c r="K18" s="595">
        <f>VLOOKUP(DATE(YEAR(SAS_RA0_DataFim),MONTH(SAS_RA0_DataFim)-1,DAY(SAS_RA0_DataFim)),Índices!$B$7:$F$500,3,FALSE)/VLOOKUP(DATE(YEAR(L18),MONTH(L18)-1,1),Índices!$B$7:$F$500,3,FALSE)-1</f>
        <v>3.9541187914459153E-2</v>
      </c>
      <c r="L18" s="17">
        <f>VLOOKUP(C9,Informacoes[],18,FALSE)</f>
        <v>44531</v>
      </c>
      <c r="M18" s="563"/>
      <c r="N18" s="9"/>
      <c r="O18" s="9"/>
      <c r="Q18" s="539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2"/>
      <c r="L19" s="17"/>
      <c r="M19" s="563"/>
      <c r="N19" s="9"/>
      <c r="O19" s="9"/>
      <c r="Q19" s="539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5"/>
      <c r="L20" s="17"/>
      <c r="M20" s="563"/>
      <c r="N20" s="9"/>
      <c r="O20" s="9"/>
      <c r="Q20" s="539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2"/>
      <c r="L21" s="17"/>
      <c r="M21" s="563"/>
      <c r="N21" s="9"/>
      <c r="O21" s="9"/>
      <c r="Q21" s="539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5"/>
      <c r="I22" s="375"/>
      <c r="J22" s="49"/>
      <c r="K22" s="564"/>
      <c r="L22" s="565"/>
      <c r="M22" s="563"/>
      <c r="N22" s="9"/>
      <c r="O22" s="9"/>
      <c r="Q22" s="539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4"/>
      <c r="B23" s="544" t="s">
        <v>673</v>
      </c>
      <c r="C23" s="555"/>
      <c r="D23" s="555"/>
      <c r="E23" s="556"/>
      <c r="F23" s="556"/>
      <c r="G23" s="556"/>
      <c r="H23" s="536"/>
      <c r="I23" s="537"/>
      <c r="J23" s="556"/>
      <c r="K23" s="557"/>
      <c r="L23" s="558"/>
      <c r="M23" s="559"/>
      <c r="N23" s="9"/>
      <c r="O23" s="9"/>
      <c r="Q23" s="539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5"/>
      <c r="I24" s="375"/>
      <c r="J24" s="49"/>
      <c r="K24" s="564"/>
      <c r="L24" s="565"/>
      <c r="M24" s="630"/>
      <c r="N24" s="572"/>
      <c r="O24" s="9"/>
      <c r="Q24" s="539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6"/>
      <c r="F25" s="567"/>
      <c r="G25" s="568"/>
      <c r="L25" s="565"/>
      <c r="M25" s="563"/>
      <c r="N25" s="572"/>
      <c r="O25" s="9"/>
      <c r="Q25" s="539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2" t="s">
        <v>674</v>
      </c>
      <c r="C26" s="597"/>
      <c r="D26" s="1106"/>
      <c r="E26" s="1107"/>
      <c r="F26" s="1108"/>
      <c r="G26" s="1109"/>
      <c r="H26" s="1106"/>
      <c r="I26" s="1106"/>
      <c r="J26" s="1106"/>
      <c r="K26" s="1110"/>
      <c r="L26" s="1111"/>
      <c r="M26" s="563"/>
      <c r="N26" s="572"/>
      <c r="O26" s="9"/>
      <c r="Q26" s="539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5"/>
      <c r="M27" s="563"/>
      <c r="N27" s="572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90" t="s">
        <v>675</v>
      </c>
      <c r="C28" s="1683" t="s">
        <v>2283</v>
      </c>
      <c r="D28" s="1683"/>
      <c r="E28" s="9"/>
      <c r="F28" s="596" t="s">
        <v>676</v>
      </c>
      <c r="G28" s="597"/>
      <c r="H28" s="597"/>
      <c r="I28" s="9"/>
      <c r="J28" s="596" t="s">
        <v>677</v>
      </c>
      <c r="K28" s="597"/>
      <c r="L28" s="17"/>
      <c r="M28" s="563"/>
      <c r="N28" s="572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5" t="s">
        <v>678</v>
      </c>
      <c r="G29" s="775"/>
      <c r="H29" s="1112">
        <v>0.1389</v>
      </c>
      <c r="I29" s="9"/>
      <c r="J29" s="775" t="s">
        <v>679</v>
      </c>
      <c r="K29" s="1113">
        <f>BD!C26</f>
        <v>4036913.2199999997</v>
      </c>
      <c r="L29" s="1665"/>
      <c r="M29" s="563"/>
      <c r="N29" s="572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4" t="s">
        <v>109</v>
      </c>
      <c r="C30" s="9"/>
      <c r="D30" s="9"/>
      <c r="E30" s="9"/>
      <c r="F30" s="776" t="s">
        <v>680</v>
      </c>
      <c r="G30" s="776"/>
      <c r="H30" s="1114"/>
      <c r="I30" s="9"/>
      <c r="J30" s="585" t="s">
        <v>681</v>
      </c>
      <c r="K30" s="599">
        <f>IFERROR(VLOOKUP(LnkTXTSigla,Informacoes[],17,FALSE)*(1+K18),0)</f>
        <v>5374448.0819329536</v>
      </c>
      <c r="L30" s="17"/>
      <c r="M30" s="563"/>
      <c r="O30" s="572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688" t="s">
        <v>682</v>
      </c>
      <c r="C31" s="1688"/>
      <c r="D31" s="808"/>
      <c r="E31" s="9"/>
      <c r="F31" s="1115"/>
      <c r="G31" s="1115"/>
      <c r="H31" s="1116"/>
      <c r="I31" s="9"/>
      <c r="J31" s="776" t="s">
        <v>683</v>
      </c>
      <c r="K31" s="1117">
        <f>D32+D33+D34</f>
        <v>5374442.8200000003</v>
      </c>
      <c r="L31" s="17" t="s">
        <v>684</v>
      </c>
      <c r="M31" s="563" t="s">
        <v>685</v>
      </c>
      <c r="O31" s="572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118" t="s">
        <v>686</v>
      </c>
      <c r="C32" s="1118"/>
      <c r="D32" s="827">
        <v>3209783.98</v>
      </c>
      <c r="E32" s="9"/>
      <c r="F32" s="1119" t="s">
        <v>687</v>
      </c>
      <c r="G32" s="1120"/>
      <c r="H32" s="1120"/>
      <c r="I32" s="9"/>
      <c r="J32" s="775" t="s">
        <v>688</v>
      </c>
      <c r="K32" s="1121">
        <f ca="1">VLOOKUP(C9,Informacoes[],30,FALSE)*(VLOOKUP(DATE(AnoRefTar,MONTH(M32)-1,1),Índices!B6:F500,3,FALSE)/VLOOKUP(DATE(YEAR(M32),MONTH(L32)-1,1),Índices!B6:F500,3,FALSE))</f>
        <v>1029915.1601314496</v>
      </c>
      <c r="L32" s="17">
        <f>VLOOKUP(C9,Informacoes[],31,FALSE)</f>
        <v>43212</v>
      </c>
      <c r="M32" s="860">
        <f>VLOOKUP(C9,Informacoes[],32,FALSE)</f>
        <v>43212</v>
      </c>
      <c r="O32" s="572"/>
      <c r="Q32" s="539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118" t="s">
        <v>689</v>
      </c>
      <c r="C33" s="1118"/>
      <c r="D33" s="828">
        <v>2164658.84</v>
      </c>
      <c r="E33" s="9"/>
      <c r="F33" s="585" t="s">
        <v>690</v>
      </c>
      <c r="G33" s="585"/>
      <c r="H33" s="501"/>
      <c r="I33" s="9"/>
      <c r="J33" s="776" t="s">
        <v>691</v>
      </c>
      <c r="K33" s="1122">
        <f ca="1">LnkTXTISubvencaoPB/12</f>
        <v>85826.263344287465</v>
      </c>
      <c r="L33" s="17"/>
      <c r="M33" s="548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123"/>
      <c r="C34" s="1123"/>
      <c r="D34" s="1124"/>
      <c r="E34" s="9"/>
      <c r="F34" s="776" t="s">
        <v>692</v>
      </c>
      <c r="G34" s="776"/>
      <c r="H34" s="1125"/>
      <c r="I34" s="9"/>
      <c r="J34" s="775" t="s">
        <v>693</v>
      </c>
      <c r="K34" s="1126">
        <f>LinkTXTPR</f>
        <v>0.11798881605826739</v>
      </c>
      <c r="L34" s="17"/>
      <c r="M34" s="563"/>
      <c r="O34" s="9"/>
      <c r="Q34" s="539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127"/>
      <c r="E35" s="9"/>
      <c r="F35" s="601"/>
      <c r="G35" s="1128"/>
      <c r="H35" s="475"/>
      <c r="I35" s="9"/>
      <c r="J35" s="585" t="s">
        <v>694</v>
      </c>
      <c r="K35" s="600">
        <f ca="1">IFERROR(Energia!L20/((Energia!L5+Energia!L6-Energia!L7+Energia!M16)+Energia!L20),0)</f>
        <v>0.12679082025013388</v>
      </c>
      <c r="L35" s="17"/>
      <c r="M35" s="563"/>
      <c r="O35" s="9"/>
      <c r="Q35" s="539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9"/>
      <c r="D36" s="829"/>
      <c r="E36" s="9"/>
      <c r="F36" s="601"/>
      <c r="G36" s="601"/>
      <c r="H36" s="475"/>
      <c r="I36" s="9"/>
      <c r="J36" s="776" t="s">
        <v>695</v>
      </c>
      <c r="K36" s="1129">
        <f ca="1">IFERROR(LNKTXTPercperdas,0)</f>
        <v>0.12679082025013388</v>
      </c>
      <c r="L36" s="17"/>
      <c r="M36" s="563"/>
      <c r="O36" s="9"/>
      <c r="Q36" s="539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2"/>
      <c r="E37" s="9"/>
      <c r="F37" s="601"/>
      <c r="G37" s="601"/>
      <c r="H37" s="475"/>
      <c r="I37" s="9"/>
      <c r="J37" s="275"/>
      <c r="K37" s="475"/>
      <c r="L37" s="791"/>
      <c r="M37" s="571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4"/>
      <c r="B38" s="544" t="s">
        <v>696</v>
      </c>
      <c r="C38" s="555"/>
      <c r="D38" s="555"/>
      <c r="E38" s="556"/>
      <c r="F38" s="556"/>
      <c r="G38" s="556"/>
      <c r="H38" s="536"/>
      <c r="I38" s="537"/>
      <c r="J38" s="556"/>
      <c r="K38" s="557"/>
      <c r="L38" s="558"/>
      <c r="M38" s="559"/>
      <c r="O38" s="9"/>
      <c r="Q38" s="539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08" t="s">
        <v>697</v>
      </c>
      <c r="G39" s="1708"/>
      <c r="L39" s="565"/>
      <c r="M39" s="548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4" t="str">
        <f>"Valores de "&amp;YEAR(C14)</f>
        <v>Valores de 2021</v>
      </c>
      <c r="C40" s="9"/>
      <c r="D40" s="9"/>
      <c r="E40" s="9"/>
      <c r="F40" s="1709" t="s">
        <v>698</v>
      </c>
      <c r="G40" s="1709"/>
      <c r="H40" s="593"/>
      <c r="I40" s="9"/>
      <c r="J40" s="1696" t="str">
        <f ca="1">"Variação processo anterior e "&amp;AnoRevRea</f>
        <v>Variação processo anterior e 2022</v>
      </c>
      <c r="K40" s="1696"/>
      <c r="L40" s="565"/>
      <c r="M40" s="548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90" t="s">
        <v>699</v>
      </c>
      <c r="C41" s="591"/>
      <c r="D41" s="1130">
        <f>BD!C5</f>
        <v>10718.416000000001</v>
      </c>
      <c r="E41" s="9"/>
      <c r="F41" s="1700" t="s">
        <v>700</v>
      </c>
      <c r="G41" s="1700"/>
      <c r="H41" s="1131">
        <f>LinkTXTPR</f>
        <v>0.11798881605826739</v>
      </c>
      <c r="I41" s="9"/>
      <c r="J41" s="590" t="s">
        <v>699</v>
      </c>
      <c r="K41" s="1132">
        <f ca="1">IFERROR(Calc_Mercado!J15,0)</f>
        <v>4.6860189042858824E-2</v>
      </c>
      <c r="L41" s="565"/>
      <c r="M41" s="548"/>
      <c r="O41" s="9"/>
      <c r="Q41" s="539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5" t="s">
        <v>40</v>
      </c>
      <c r="C42" s="585"/>
      <c r="D42" s="374">
        <f>IFERROR(VLOOKUP("TFSEE",BD!$B$7:$C$16,2,FALSE),0)</f>
        <v>16914.623324865661</v>
      </c>
      <c r="E42" s="9"/>
      <c r="F42" s="1701" t="s">
        <v>701</v>
      </c>
      <c r="G42" s="1701"/>
      <c r="H42" s="594">
        <f>SUM(H43:H44)</f>
        <v>-8.5000000000000006E-3</v>
      </c>
      <c r="I42" s="9"/>
      <c r="J42" s="585" t="s">
        <v>40</v>
      </c>
      <c r="K42" s="1132">
        <f ca="1">LnkTxtVarTFSEE</f>
        <v>0.25473842258885893</v>
      </c>
      <c r="L42" s="565"/>
      <c r="M42" s="548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5" t="s">
        <v>41</v>
      </c>
      <c r="C43" s="585"/>
      <c r="D43" s="374">
        <f>IFERROR(VLOOKUP("CDE",BD!$B$7:$C$16,2,FALSE),0)</f>
        <v>196106.30220000001</v>
      </c>
      <c r="E43" s="9"/>
      <c r="F43" s="1701" t="s">
        <v>702</v>
      </c>
      <c r="G43" s="1701"/>
      <c r="H43" s="594">
        <f>VLOOKUP(B2,Informacoes[#Data],25,FALSE)</f>
        <v>1.15E-2</v>
      </c>
      <c r="I43" s="9"/>
      <c r="J43" s="585" t="s">
        <v>41</v>
      </c>
      <c r="K43" s="592">
        <f ca="1">LnkTxtVarCDE</f>
        <v>0.64320952912902096</v>
      </c>
      <c r="L43" s="565"/>
      <c r="M43" s="548"/>
      <c r="O43" s="9"/>
      <c r="Q43" s="539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5" t="s">
        <v>126</v>
      </c>
      <c r="C44" s="585"/>
      <c r="D44" s="374">
        <f>IFERROR(VLOOKUP("CFURH",BD!$B$7:$C$16,2,FALSE),0)</f>
        <v>0</v>
      </c>
      <c r="E44" s="9"/>
      <c r="F44" s="1697" t="s">
        <v>263</v>
      </c>
      <c r="G44" s="1697"/>
      <c r="H44" s="1133">
        <f>VLOOKUP(B2,Informacoes[#Data],26,FALSE)</f>
        <v>-0.02</v>
      </c>
      <c r="I44" s="9"/>
      <c r="J44" s="585" t="s">
        <v>126</v>
      </c>
      <c r="K44" s="475" t="str">
        <f ca="1">Resultado!F19</f>
        <v>-</v>
      </c>
      <c r="L44" s="565"/>
      <c r="M44" s="548"/>
      <c r="N44" s="574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5" t="s">
        <v>46</v>
      </c>
      <c r="C45" s="585"/>
      <c r="D45" s="374">
        <f>IFERROR(VLOOKUP("ESS/ERR",BD!$B$7:$C$16,2,FALSE),0)</f>
        <v>0</v>
      </c>
      <c r="E45" s="9"/>
      <c r="I45" s="376"/>
      <c r="J45" s="585" t="s">
        <v>46</v>
      </c>
      <c r="K45" s="475" t="str">
        <f ca="1">Resultado!F20</f>
        <v>-</v>
      </c>
      <c r="L45" s="565"/>
      <c r="M45" s="573"/>
      <c r="N45" s="574"/>
      <c r="O45" s="9"/>
      <c r="Q45" s="539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5" t="s">
        <v>47</v>
      </c>
      <c r="C46" s="585"/>
      <c r="D46" s="374">
        <f>IFERROR(VLOOKUP("PROINFA",BD!$B$7:$C$16,2,FALSE),0)</f>
        <v>80404.590640000009</v>
      </c>
      <c r="E46" s="9"/>
      <c r="F46" s="9"/>
      <c r="G46" s="9"/>
      <c r="H46" s="9"/>
      <c r="I46" s="400"/>
      <c r="J46" s="585" t="s">
        <v>47</v>
      </c>
      <c r="K46" s="592">
        <f ca="1">Resultado!F21</f>
        <v>0.50954291178516953</v>
      </c>
      <c r="L46" s="565"/>
      <c r="M46" s="575"/>
      <c r="N46" s="574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5" t="s">
        <v>2214</v>
      </c>
      <c r="C47" s="585"/>
      <c r="D47" s="374">
        <f>IFERROR(VLOOKUP("CDE Covid TUSD",BD!$B$7:$C$16,2,FALSE),0)</f>
        <v>0</v>
      </c>
      <c r="E47" s="9"/>
      <c r="I47" s="400"/>
      <c r="J47" s="585" t="s">
        <v>48</v>
      </c>
      <c r="K47" s="475" t="str">
        <f ca="1">Resultado!F22</f>
        <v>-</v>
      </c>
      <c r="L47" s="565"/>
      <c r="M47" s="575"/>
      <c r="N47" s="574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5" t="s">
        <v>49</v>
      </c>
      <c r="C48" s="585"/>
      <c r="D48" s="374">
        <f>IFERROR(VLOOKUP("ONS",BD!$B$7:$C$16,2,FALSE),0)</f>
        <v>0</v>
      </c>
      <c r="E48" s="9"/>
      <c r="F48" s="717" t="s">
        <v>703</v>
      </c>
      <c r="G48" s="718"/>
      <c r="I48" s="400"/>
      <c r="J48" s="585" t="s">
        <v>49</v>
      </c>
      <c r="K48" s="475" t="str">
        <f ca="1">Resultado!F23</f>
        <v>-</v>
      </c>
      <c r="L48" s="565"/>
      <c r="M48" s="575"/>
      <c r="N48" s="574"/>
      <c r="O48" s="9"/>
      <c r="Q48" s="539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5" t="s">
        <v>704</v>
      </c>
      <c r="C49" s="775"/>
      <c r="D49" s="1134">
        <f>BD!C18</f>
        <v>0</v>
      </c>
      <c r="E49" s="9"/>
      <c r="F49" s="717" t="s">
        <v>705</v>
      </c>
      <c r="G49" s="719"/>
      <c r="I49" s="400"/>
      <c r="J49" s="775" t="s">
        <v>704</v>
      </c>
      <c r="K49" s="1132"/>
      <c r="L49" s="565"/>
      <c r="M49" s="575"/>
      <c r="N49" s="574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5" t="s">
        <v>706</v>
      </c>
      <c r="C50" s="585"/>
      <c r="D50" s="374">
        <f>BD!C19</f>
        <v>0</v>
      </c>
      <c r="E50" s="9"/>
      <c r="I50" s="400"/>
      <c r="J50" s="585" t="s">
        <v>706</v>
      </c>
      <c r="K50" s="592"/>
      <c r="L50" s="565"/>
      <c r="M50" s="575"/>
      <c r="N50" s="574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6" t="s">
        <v>707</v>
      </c>
      <c r="C51" s="776"/>
      <c r="D51" s="1135"/>
      <c r="E51" s="9"/>
      <c r="I51" s="9"/>
      <c r="J51" s="776" t="s">
        <v>707</v>
      </c>
      <c r="K51" s="592"/>
      <c r="L51" s="565"/>
      <c r="M51" s="575"/>
      <c r="N51" s="574"/>
      <c r="O51" s="9"/>
      <c r="Q51" s="539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90" t="s">
        <v>708</v>
      </c>
      <c r="C52" s="590"/>
      <c r="D52" s="1136">
        <f>BD!C25</f>
        <v>1177957.7386500002</v>
      </c>
      <c r="E52" s="9"/>
      <c r="F52" s="9"/>
      <c r="G52" s="9"/>
      <c r="H52" s="9"/>
      <c r="I52" s="9"/>
      <c r="J52" s="590" t="s">
        <v>708</v>
      </c>
      <c r="K52" s="595">
        <f ca="1">Resultado!F32</f>
        <v>0.17373558244202325</v>
      </c>
      <c r="L52" s="565"/>
      <c r="M52" s="575"/>
      <c r="N52" s="574"/>
      <c r="O52" s="9"/>
      <c r="Q52" s="492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90" t="s">
        <v>709</v>
      </c>
      <c r="C53" s="590"/>
      <c r="D53" s="1136">
        <f>BD!C26</f>
        <v>4036913.2199999997</v>
      </c>
      <c r="E53" s="9"/>
      <c r="F53" s="9"/>
      <c r="G53" s="9"/>
      <c r="H53" s="9"/>
      <c r="I53" s="9"/>
      <c r="J53" s="9"/>
      <c r="K53" s="9"/>
      <c r="L53" s="565"/>
      <c r="M53" s="575"/>
      <c r="N53" s="574"/>
      <c r="O53" s="9"/>
      <c r="Q53" s="492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5"/>
      <c r="E54" s="9"/>
      <c r="F54" s="9"/>
      <c r="G54" s="9"/>
      <c r="H54" s="9"/>
      <c r="I54" s="9"/>
      <c r="J54" s="9"/>
      <c r="K54" s="9"/>
      <c r="L54" s="565"/>
      <c r="M54" s="575"/>
      <c r="N54" s="574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4"/>
      <c r="B55" s="544" t="s">
        <v>710</v>
      </c>
      <c r="C55" s="555"/>
      <c r="D55" s="555"/>
      <c r="E55" s="556"/>
      <c r="F55" s="556"/>
      <c r="G55" s="556"/>
      <c r="H55" s="536"/>
      <c r="I55" s="537"/>
      <c r="J55" s="556"/>
      <c r="K55" s="557"/>
      <c r="L55" s="558"/>
      <c r="M55" s="559"/>
      <c r="N55" s="574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9"/>
      <c r="E56" s="49"/>
      <c r="F56" s="49"/>
      <c r="G56" s="49"/>
      <c r="H56" s="535"/>
      <c r="I56" s="375"/>
      <c r="J56" s="49"/>
      <c r="K56" s="564"/>
      <c r="L56" s="565"/>
      <c r="M56" s="561"/>
      <c r="N56" s="574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4"/>
      <c r="C57" s="9"/>
      <c r="D57" s="1137"/>
      <c r="E57" s="588"/>
      <c r="F57" s="589" t="s">
        <v>711</v>
      </c>
      <c r="G57" s="49"/>
      <c r="H57" s="535"/>
      <c r="I57" s="375"/>
      <c r="J57" s="49"/>
      <c r="K57" s="564"/>
      <c r="L57" s="565"/>
      <c r="M57" s="561"/>
      <c r="N57" s="577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138" t="s">
        <v>270</v>
      </c>
      <c r="C58" s="1139"/>
      <c r="D58" s="805"/>
      <c r="E58" s="1691">
        <v>0</v>
      </c>
      <c r="F58" s="1691"/>
      <c r="G58" s="381"/>
      <c r="L58" s="792"/>
      <c r="M58" s="576"/>
      <c r="N58" s="579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44652</v>
      </c>
      <c r="G59" s="381"/>
      <c r="K59" s="578"/>
      <c r="L59" s="565"/>
      <c r="N59" s="582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80"/>
      <c r="B60" s="544" t="s">
        <v>712</v>
      </c>
      <c r="C60" s="555"/>
      <c r="D60" s="556"/>
      <c r="E60" s="556"/>
      <c r="F60" s="556"/>
      <c r="G60" s="536"/>
      <c r="H60" s="537"/>
      <c r="I60" s="556"/>
      <c r="J60" s="557"/>
      <c r="K60" s="558"/>
      <c r="L60" s="793"/>
      <c r="M60" s="581"/>
      <c r="N60" s="582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3" t="s">
        <v>713</v>
      </c>
      <c r="C61" s="583"/>
      <c r="D61" s="583" t="s">
        <v>714</v>
      </c>
      <c r="L61" s="565"/>
      <c r="M61" s="771"/>
      <c r="N61" s="481"/>
      <c r="O61" s="582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7" t="s">
        <v>715</v>
      </c>
      <c r="C62" s="748" t="s">
        <v>716</v>
      </c>
      <c r="D62" s="748" t="s">
        <v>232</v>
      </c>
      <c r="E62" s="1684" t="s">
        <v>717</v>
      </c>
      <c r="F62" s="1685"/>
      <c r="G62" s="748" t="s">
        <v>718</v>
      </c>
      <c r="H62" s="749" t="s">
        <v>719</v>
      </c>
      <c r="I62" s="9"/>
      <c r="J62" s="9"/>
      <c r="K62" s="9"/>
      <c r="L62" s="17"/>
      <c r="M62" s="570"/>
      <c r="N62" s="481"/>
      <c r="O62" s="582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3">
        <f>Indexador!B34</f>
        <v>44228</v>
      </c>
      <c r="C63" s="759"/>
      <c r="D63" s="759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02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03"/>
      <c r="G63" s="759">
        <f>IFERROR(VLOOKUP(B63,transmissorapiscofins[#All],2,FALSE),0)</f>
        <v>0</v>
      </c>
      <c r="H63" s="760"/>
      <c r="I63" s="9" t="s">
        <v>720</v>
      </c>
      <c r="J63" s="486"/>
      <c r="K63" s="9"/>
      <c r="L63" s="17"/>
      <c r="M63" s="570"/>
      <c r="N63" s="481"/>
      <c r="O63" s="582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4">
        <f>Indexador!B35</f>
        <v>44256</v>
      </c>
      <c r="C64" s="765"/>
      <c r="D64" s="765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04">
        <v>0</v>
      </c>
      <c r="F64" s="1705"/>
      <c r="G64" s="765">
        <f>IFERROR(VLOOKUP(B64,transmissorapiscofins[#All],2,FALSE),0)</f>
        <v>0</v>
      </c>
      <c r="H64" s="751">
        <f>SUMIF(BD!$A$41:$A$57,B64,BD!$C$41:$C$57)</f>
        <v>0</v>
      </c>
      <c r="I64" s="9" t="s">
        <v>721</v>
      </c>
      <c r="J64" s="587"/>
      <c r="K64" s="9"/>
      <c r="L64" s="17"/>
      <c r="M64" s="570"/>
      <c r="N64" s="481"/>
      <c r="O64" s="582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0">
        <f>Indexador!B36</f>
        <v>44287</v>
      </c>
      <c r="C65" s="766"/>
      <c r="D65" s="766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06">
        <v>0</v>
      </c>
      <c r="F65" s="1707"/>
      <c r="G65" s="766">
        <f>IFERROR(VLOOKUP(B65,transmissorapiscofins[#All],2,FALSE),0)</f>
        <v>0</v>
      </c>
      <c r="H65" s="774">
        <f>SUMIF(BD!$A$41:$A$57,B65,BD!$C$41:$C$57)</f>
        <v>0</v>
      </c>
      <c r="I65" s="9"/>
      <c r="J65" s="587"/>
      <c r="K65" s="9"/>
      <c r="L65" s="17"/>
      <c r="M65" s="570"/>
      <c r="N65" s="481"/>
      <c r="O65" s="582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5">
        <f>Indexador!B37</f>
        <v>44317</v>
      </c>
      <c r="C66" s="767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12115.76</v>
      </c>
      <c r="D66" s="768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698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699"/>
      <c r="G66" s="768">
        <f>IFERROR(VLOOKUP(B66,transmissorapiscofins[#All],2,FALSE),0)</f>
        <v>0</v>
      </c>
      <c r="H66" s="751">
        <f>SUMIF(BD!$A$41:$A$57,B66,BD!$C$41:$C$57)</f>
        <v>0</v>
      </c>
      <c r="I66" s="9"/>
      <c r="J66" s="9"/>
      <c r="K66" s="9"/>
      <c r="L66" s="17"/>
      <c r="M66" s="570"/>
      <c r="N66" s="481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5">
        <f>Indexador!B38</f>
        <v>44348</v>
      </c>
      <c r="C67" s="767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12498.33</v>
      </c>
      <c r="D67" s="767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686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687"/>
      <c r="G67" s="767">
        <f>IFERROR(VLOOKUP(B67,transmissorapiscofins[#All],2,FALSE),0)</f>
        <v>0</v>
      </c>
      <c r="H67" s="751">
        <f>SUMIF(BD!$A$41:$A$57,B67,BD!$C$41:$C$57)</f>
        <v>0</v>
      </c>
      <c r="I67" s="9"/>
      <c r="J67" s="9"/>
      <c r="K67" s="9"/>
      <c r="L67" s="17"/>
      <c r="M67" s="570"/>
      <c r="N67" s="773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5">
        <f>Indexador!B39</f>
        <v>44378</v>
      </c>
      <c r="C68" s="767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12206.86</v>
      </c>
      <c r="D68" s="767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686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687"/>
      <c r="G68" s="767">
        <f>IFERROR(VLOOKUP(B68,transmissorapiscofins[#All],2,FALSE),0)</f>
        <v>0</v>
      </c>
      <c r="H68" s="751">
        <f>SUMIF(BD!$A$41:$A$57,B68,BD!$C$41:$C$57)</f>
        <v>0</v>
      </c>
      <c r="I68" s="9"/>
      <c r="J68" s="9"/>
      <c r="K68" s="9"/>
      <c r="L68" s="17"/>
      <c r="M68" s="570"/>
      <c r="N68" s="481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5">
        <f>Indexador!B40</f>
        <v>44409</v>
      </c>
      <c r="C69" s="767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12726.96</v>
      </c>
      <c r="D69" s="767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686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687"/>
      <c r="G69" s="767">
        <f>IFERROR(VLOOKUP(B69,transmissorapiscofins[#All],2,FALSE),0)</f>
        <v>0</v>
      </c>
      <c r="H69" s="751">
        <f>SUMIF(BD!$A$41:$A$57,B69,BD!$C$41:$C$57)</f>
        <v>0</v>
      </c>
      <c r="I69" s="9"/>
      <c r="J69" s="9"/>
      <c r="K69" s="9"/>
      <c r="L69" s="17"/>
      <c r="M69" s="570"/>
      <c r="N69" s="481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5">
        <f>Indexador!B41</f>
        <v>44440</v>
      </c>
      <c r="C70" s="767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12812.23</v>
      </c>
      <c r="D70" s="767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686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687"/>
      <c r="G70" s="767">
        <f>IFERROR(VLOOKUP(B70,transmissorapiscofins[#All],2,FALSE),0)</f>
        <v>0</v>
      </c>
      <c r="H70" s="751">
        <f>SUMIF(BD!$A$41:$A$57,B70,BD!$C$41:$C$57)</f>
        <v>0</v>
      </c>
      <c r="I70" s="9"/>
      <c r="J70" s="9"/>
      <c r="K70" s="9"/>
      <c r="L70" s="17"/>
      <c r="M70" s="570"/>
      <c r="N70" s="481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5">
        <f>Indexador!B42</f>
        <v>44470</v>
      </c>
      <c r="C71" s="767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13873.64</v>
      </c>
      <c r="D71" s="767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686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687"/>
      <c r="G71" s="767">
        <f>IFERROR(VLOOKUP(B71,transmissorapiscofins[#All],2,FALSE),0)</f>
        <v>0</v>
      </c>
      <c r="H71" s="751">
        <f>SUMIF(BD!$A$41:$A$57,B71,BD!$C$41:$C$57)</f>
        <v>0</v>
      </c>
      <c r="I71" s="9"/>
      <c r="J71" s="9"/>
      <c r="K71" s="9"/>
      <c r="L71" s="17"/>
      <c r="M71" s="570"/>
      <c r="N71" s="481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5">
        <f>Indexador!B43</f>
        <v>44501</v>
      </c>
      <c r="C72" s="767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13620.29</v>
      </c>
      <c r="D72" s="767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686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687"/>
      <c r="G72" s="767">
        <f>IFERROR(VLOOKUP(B72,transmissorapiscofins[#All],2,FALSE),0)</f>
        <v>0</v>
      </c>
      <c r="H72" s="751">
        <f>SUMIF(BD!$A$41:$A$57,B72,BD!$C$41:$C$57)</f>
        <v>0</v>
      </c>
      <c r="J72" s="488" t="s">
        <v>722</v>
      </c>
      <c r="K72" s="488" t="s">
        <v>723</v>
      </c>
      <c r="L72" s="608" t="s">
        <v>723</v>
      </c>
      <c r="M72" s="608" t="s">
        <v>724</v>
      </c>
      <c r="N72" s="481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5">
        <f>Indexador!B44</f>
        <v>44531</v>
      </c>
      <c r="C73" s="767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14104.4</v>
      </c>
      <c r="D73" s="767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686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687"/>
      <c r="G73" s="767">
        <f>IFERROR(VLOOKUP(B73,transmissorapiscofins[#All],2,FALSE),0)</f>
        <v>0</v>
      </c>
      <c r="H73" s="751">
        <f>SUMIF(BD!$A$41:$A$57,B73,BD!$C$41:$C$57)</f>
        <v>0</v>
      </c>
      <c r="J73" s="1140" t="str">
        <f ca="1">IFERROR(VLOOKUP(TRUE,BD!D41:F56,3,FALSE),"todos os meses")</f>
        <v>todos os meses</v>
      </c>
      <c r="K73" s="1141" t="s">
        <v>725</v>
      </c>
      <c r="L73" s="1142">
        <f ca="1">IF(Energia!F23*2/3=0,0.0000001,Energia!F23*2/3)</f>
        <v>2145410.2815581071</v>
      </c>
      <c r="M73" s="1143">
        <f ca="1">IFERROR(-LnkTXTBandeira/Energia!F23," ")</f>
        <v>0</v>
      </c>
      <c r="N73" s="481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5">
        <f>Indexador!B45</f>
        <v>44562</v>
      </c>
      <c r="C74" s="767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14362.92</v>
      </c>
      <c r="D74" s="767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686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687"/>
      <c r="G74" s="767">
        <f>IFERROR(VLOOKUP(B74,transmissorapiscofins[#All],2,FALSE),0)</f>
        <v>0</v>
      </c>
      <c r="H74" s="751">
        <f>SUMIF(BD!$A$41:$A$57,B74,BD!$C$41:$C$57)</f>
        <v>0</v>
      </c>
      <c r="I74" s="9"/>
      <c r="J74" s="9"/>
      <c r="K74" s="9"/>
      <c r="L74" s="17"/>
      <c r="M74" s="570"/>
      <c r="N74" s="481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5">
        <f>Indexador!B46</f>
        <v>44593</v>
      </c>
      <c r="C75" s="767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18872.689999999999</v>
      </c>
      <c r="D75" s="767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686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687"/>
      <c r="G75" s="767">
        <f>IFERROR(VLOOKUP(B75,transmissorapiscofins[#All],2,FALSE),0)</f>
        <v>0</v>
      </c>
      <c r="H75" s="751">
        <f>SUMIF(BD!$A$41:$A$57,B75,BD!$C$41:$C$57)</f>
        <v>0</v>
      </c>
      <c r="I75" s="9"/>
      <c r="J75" s="9"/>
      <c r="K75" s="9"/>
      <c r="L75" s="17"/>
      <c r="M75" s="570"/>
      <c r="N75" s="481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5">
        <f>Indexador!B47</f>
        <v>44621</v>
      </c>
      <c r="C76" s="767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15723.49</v>
      </c>
      <c r="D76" s="767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686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687"/>
      <c r="G76" s="767">
        <f>IFERROR(VLOOKUP(B76,transmissorapiscofins[#All],2,FALSE),0)</f>
        <v>0</v>
      </c>
      <c r="H76" s="751">
        <f>SUMIF(BD!$A$41:$A$57,B76,BD!$C$41:$C$57)</f>
        <v>0</v>
      </c>
      <c r="I76" s="9"/>
      <c r="J76" s="9"/>
      <c r="K76" s="9"/>
      <c r="L76" s="17"/>
      <c r="M76" s="570"/>
      <c r="N76" s="481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6">
        <f>Indexador!B48</f>
        <v>44652</v>
      </c>
      <c r="C77" s="769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14243.53</v>
      </c>
      <c r="D77" s="897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689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690"/>
      <c r="G77" s="897">
        <f>IFERROR(VLOOKUP(B77,transmissorapiscofins[#All],2,FALSE),0)</f>
        <v>0</v>
      </c>
      <c r="H77" s="886">
        <f>SUMIF(BD!$A$41:$A$57,B77,BD!$C$41:$C$57)</f>
        <v>0</v>
      </c>
      <c r="I77" s="586">
        <f>SUM(D65:D76)+D76</f>
        <v>0</v>
      </c>
      <c r="J77" s="9"/>
      <c r="K77" s="9"/>
      <c r="L77" s="17"/>
      <c r="M77" s="570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6"/>
      <c r="K78" s="9"/>
      <c r="L78" s="17"/>
      <c r="M78" s="548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2"/>
      <c r="G79" s="533"/>
      <c r="H79" s="534"/>
      <c r="I79" s="528"/>
      <c r="J79" s="528"/>
      <c r="K79" s="529"/>
      <c r="L79" s="794"/>
      <c r="M79" s="772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80"/>
      <c r="B80" s="544" t="s">
        <v>726</v>
      </c>
      <c r="C80" s="555"/>
      <c r="D80" s="556"/>
      <c r="E80" s="556"/>
      <c r="F80" s="556"/>
      <c r="G80" s="536"/>
      <c r="H80" s="537"/>
      <c r="I80" s="556"/>
      <c r="J80" s="557"/>
      <c r="K80" s="558"/>
      <c r="L80" s="793"/>
      <c r="M80" s="581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5"/>
      <c r="M81" s="548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90" t="s">
        <v>727</v>
      </c>
      <c r="C82" s="1144" t="str">
        <f>H5</f>
        <v>48500.004969/2021-88</v>
      </c>
      <c r="D82" s="1145"/>
      <c r="E82" s="1145"/>
      <c r="F82" s="1145"/>
      <c r="H82" s="569"/>
      <c r="L82" s="565"/>
      <c r="M82" s="548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5" t="s">
        <v>728</v>
      </c>
      <c r="C83" s="1146">
        <f>VLOOKUP(LnkTXTSigla,Informacoes[],23,FALSE)</f>
        <v>2872</v>
      </c>
      <c r="D83" s="1147"/>
      <c r="E83" s="1147"/>
      <c r="F83" s="1147"/>
      <c r="G83" s="381"/>
      <c r="H83" s="569"/>
      <c r="I83" s="788"/>
      <c r="L83" s="565"/>
      <c r="M83" s="548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5" t="s">
        <v>729</v>
      </c>
      <c r="C84" s="619" t="str">
        <f>'Informações Gerais'!X49</f>
        <v>27 de abril de 2021</v>
      </c>
      <c r="D84" s="540"/>
      <c r="E84" s="540"/>
      <c r="F84" s="540"/>
      <c r="G84" s="381"/>
      <c r="H84" s="569"/>
      <c r="L84" s="565"/>
      <c r="M84" s="548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5" t="s">
        <v>730</v>
      </c>
      <c r="C85" s="1148"/>
      <c r="D85" s="1149"/>
      <c r="E85" s="1149"/>
      <c r="F85" s="1149"/>
      <c r="G85" s="381"/>
      <c r="H85" s="569"/>
      <c r="L85" s="565"/>
      <c r="M85" s="548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5" t="s">
        <v>731</v>
      </c>
      <c r="C86" s="662"/>
      <c r="D86" s="663"/>
      <c r="E86" s="663"/>
      <c r="F86" s="663"/>
      <c r="G86" s="381"/>
      <c r="H86" s="569"/>
      <c r="L86" s="565"/>
      <c r="M86" s="548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6" t="s">
        <v>732</v>
      </c>
      <c r="C87" s="1150"/>
      <c r="D87" s="1151"/>
      <c r="E87" s="1151"/>
      <c r="F87" s="1151"/>
      <c r="G87" s="381"/>
      <c r="H87" s="569"/>
      <c r="L87" s="565"/>
      <c r="M87" s="548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5" t="s">
        <v>733</v>
      </c>
      <c r="C88" s="621" t="str">
        <f>VLOOKUP(LnkTXTSigla,Informacoes[],20,FALSE)</f>
        <v>09/2008</v>
      </c>
      <c r="D88" s="541"/>
      <c r="E88" s="541"/>
      <c r="F88" s="541"/>
      <c r="G88" s="381"/>
      <c r="H88" s="569"/>
      <c r="L88" s="565"/>
      <c r="M88" s="548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5" t="s">
        <v>734</v>
      </c>
      <c r="C89" s="621" t="str">
        <f>VLOOKUP(LnkTXTSigla,Informacoes[],21,FALSE)</f>
        <v>30 de julho de 2008</v>
      </c>
      <c r="D89" s="622"/>
      <c r="E89" s="541"/>
      <c r="F89" s="540"/>
      <c r="H89" s="569"/>
      <c r="L89" s="565"/>
      <c r="M89" s="548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5" t="s">
        <v>735</v>
      </c>
      <c r="C90" s="623" t="str">
        <f>Q3</f>
        <v>Cooperativa de Eletrificação e Desenvolvimento Rural Centro Sul de Sergipe Ltda</v>
      </c>
      <c r="D90" s="541"/>
      <c r="E90" s="541"/>
      <c r="F90" s="541"/>
      <c r="H90" s="569"/>
      <c r="L90" s="565"/>
      <c r="M90" s="548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5" t="s">
        <v>736</v>
      </c>
      <c r="C91" s="623" t="str">
        <f>C9</f>
        <v>Cercos</v>
      </c>
      <c r="D91" s="541"/>
      <c r="E91" s="542"/>
      <c r="F91" s="541"/>
      <c r="H91" s="788"/>
      <c r="L91" s="565"/>
      <c r="M91" s="548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5" t="s">
        <v>737</v>
      </c>
      <c r="C92" s="621" t="str">
        <f>D92&amp;" - "&amp;E92</f>
        <v>Lagarto - SE</v>
      </c>
      <c r="D92" s="543" t="str">
        <f>VLOOKUP(LnkTXTSigla,Informacoes[],6,FALSE)</f>
        <v>Lagarto</v>
      </c>
      <c r="E92" s="543" t="str">
        <f>VLOOKUP(LnkTXTSigla,Informacoes[],7,FALSE)</f>
        <v>SE</v>
      </c>
      <c r="F92" s="541"/>
      <c r="L92" s="565"/>
      <c r="M92" s="548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5" t="s">
        <v>738</v>
      </c>
      <c r="C93" s="624"/>
      <c r="D93" s="541"/>
      <c r="E93" s="541"/>
      <c r="F93" s="541"/>
      <c r="L93" s="565"/>
      <c r="M93" s="548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5" t="s">
        <v>739</v>
      </c>
      <c r="C94" s="623">
        <f>DataRevRea</f>
        <v>44710</v>
      </c>
      <c r="D94" s="541"/>
      <c r="E94" s="541">
        <f>DATE(YEAR(DataRevRea)+1,MONTH(DataRevRea)-1,1)</f>
        <v>45017</v>
      </c>
      <c r="F94" s="541"/>
      <c r="L94" s="565"/>
      <c r="M94" s="548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5" t="s">
        <v>740</v>
      </c>
      <c r="C95" s="625" t="str">
        <f>TEXT(E95,"mmmm")&amp;" de "&amp;TEXT(E95,"aaaa")&amp; " a "&amp;TEXT(E94,"mmmm")&amp;" de "&amp;TEXT(E94,"aaaa")</f>
        <v>maio de 2022 a abril de 2023</v>
      </c>
      <c r="D95" s="541"/>
      <c r="E95" s="541">
        <f>DATE(YEAR(DataRevRea),MONTH(DataRevRea),DAY(DataRevRea))</f>
        <v>44710</v>
      </c>
      <c r="F95" s="541"/>
      <c r="L95" s="565"/>
      <c r="M95" s="548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5" t="s">
        <v>741</v>
      </c>
      <c r="C96" s="624">
        <f>C94</f>
        <v>44710</v>
      </c>
      <c r="D96" s="626"/>
      <c r="E96" s="541"/>
      <c r="F96" s="541"/>
      <c r="L96" s="565"/>
      <c r="M96" s="548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5" t="s">
        <v>226</v>
      </c>
      <c r="C97" s="627">
        <f>DATE(YEAR(DataRevRea)+1,MONTH(DataRevRea),DAY(DataRevRea)-1)</f>
        <v>45074</v>
      </c>
      <c r="D97" s="626"/>
      <c r="E97" s="541"/>
      <c r="F97" s="541"/>
      <c r="L97" s="565"/>
      <c r="M97" s="548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5" t="s">
        <v>742</v>
      </c>
      <c r="C98" s="627" t="str">
        <f>TEXT(C14,"mmmm")&amp;" de "&amp;TEXT(C14,"aaaa")&amp; " a "&amp;TEXT(C17,"mmmm")&amp;" de "&amp;TEXT(C17,"aaaa")</f>
        <v>maio de 2021 a abril de 2022</v>
      </c>
      <c r="D98" s="541"/>
      <c r="E98" s="541"/>
      <c r="F98" s="541"/>
      <c r="L98" s="565"/>
      <c r="M98" s="548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5" t="s">
        <v>743</v>
      </c>
      <c r="C99" s="620">
        <f ca="1">IF(P1="verdadeiro",K36,H41)</f>
        <v>0.12679082025013388</v>
      </c>
      <c r="D99" s="541"/>
      <c r="E99" s="541"/>
      <c r="F99" s="541"/>
      <c r="I99" s="569"/>
      <c r="L99" s="565"/>
      <c r="M99" s="548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5" t="s">
        <v>701</v>
      </c>
      <c r="C100" s="620">
        <f>H42</f>
        <v>-8.5000000000000006E-3</v>
      </c>
      <c r="D100" s="541"/>
      <c r="E100" s="541"/>
      <c r="F100" s="541"/>
      <c r="L100" s="565"/>
      <c r="M100" s="548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5" t="s">
        <v>744</v>
      </c>
      <c r="C101" s="620">
        <f>LnkTXTIPCA-C100</f>
        <v>0.12981630216906664</v>
      </c>
      <c r="D101" s="541"/>
      <c r="E101" s="541"/>
      <c r="F101" s="541"/>
      <c r="L101" s="565"/>
      <c r="M101" s="548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5" t="s">
        <v>745</v>
      </c>
      <c r="C102" s="628">
        <f ca="1">Resultado!D33</f>
        <v>3218115.4223371609</v>
      </c>
      <c r="D102" s="541"/>
      <c r="E102" s="541"/>
      <c r="F102" s="541"/>
      <c r="L102" s="565"/>
      <c r="M102" s="548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5" t="s">
        <v>746</v>
      </c>
      <c r="C103" s="628">
        <f>Resultado!D32</f>
        <v>1447629.078219</v>
      </c>
      <c r="D103" s="541"/>
      <c r="E103" s="541"/>
      <c r="F103" s="541"/>
      <c r="L103" s="565"/>
      <c r="M103" s="548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5" t="s">
        <v>747</v>
      </c>
      <c r="C104" s="628">
        <f>SUM(Resultado!D25:D29)</f>
        <v>0</v>
      </c>
      <c r="D104" s="541"/>
      <c r="E104" s="541"/>
      <c r="F104" s="541"/>
      <c r="H104" s="584"/>
      <c r="I104" s="584"/>
      <c r="L104" s="565"/>
      <c r="M104" s="548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5" t="s">
        <v>748</v>
      </c>
      <c r="C105" s="628">
        <f>Resultado!D31</f>
        <v>0</v>
      </c>
      <c r="D105" s="541"/>
      <c r="E105" s="541"/>
      <c r="F105" s="541"/>
      <c r="L105" s="565"/>
      <c r="M105" s="548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5" t="s">
        <v>749</v>
      </c>
      <c r="C106" s="629">
        <f>ROUND(Calc_Mercado!J18/1000,0)</f>
        <v>6</v>
      </c>
      <c r="D106" s="541"/>
      <c r="E106" s="541"/>
      <c r="F106" s="541"/>
      <c r="L106" s="565"/>
      <c r="M106" s="548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5" t="s">
        <v>750</v>
      </c>
      <c r="C107" s="629">
        <f ca="1">ROUND(Mercado_RA0_Reais/1000000,0)</f>
        <v>9</v>
      </c>
      <c r="D107" s="541"/>
      <c r="E107" s="541"/>
      <c r="F107" s="541"/>
      <c r="L107" s="565"/>
      <c r="M107" s="548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5" t="s">
        <v>246</v>
      </c>
      <c r="C108" s="629" t="str">
        <f>VLOOKUP(LnkTXTSigla,Informacoes[],9,FALSE)</f>
        <v>Energisa SE</v>
      </c>
      <c r="D108" s="541"/>
      <c r="E108" s="541">
        <f>VLOOKUP(LnkTXTSigla,Informacoes[],11,FALSE)</f>
        <v>0</v>
      </c>
      <c r="F108" s="541"/>
      <c r="L108" s="565"/>
      <c r="M108" s="548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6" t="s">
        <v>248</v>
      </c>
      <c r="C109" s="1152" t="str">
        <f>IF(E109=0,"!vazio!"," e "&amp;E109)</f>
        <v>!vazio!</v>
      </c>
      <c r="D109" s="1153">
        <f>IF(Energia!B29=Energia!B28,IF(Energia!B30=Energia!B28,Energia!B31,Energia!B29),Energia!B29)</f>
        <v>0</v>
      </c>
      <c r="E109" s="1153">
        <f>VLOOKUP(LnkTXTSigla,Informacoes[],11,FALSE)</f>
        <v>0</v>
      </c>
      <c r="F109" s="1153"/>
      <c r="L109" s="565"/>
      <c r="M109" s="548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6" t="s">
        <v>751</v>
      </c>
      <c r="C110" s="1152" t="str">
        <f ca="1">IF(AnoRevRea=VLOOKUP(LnkTXTSigla,Informacoes[],22,FALSE),"REVISÃO","REAJUSTE")</f>
        <v>REAJUSTE</v>
      </c>
      <c r="D110" s="1153"/>
      <c r="E110" s="1153"/>
      <c r="F110" s="1153"/>
      <c r="L110" s="565"/>
      <c r="M110" s="548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6" t="s">
        <v>752</v>
      </c>
      <c r="C111" s="1152" t="str">
        <f ca="1">IF(C110="Reajuste", "Reajuste Tarifário Anual - RTA", "Revisão Tarifária Periódica - RTP")</f>
        <v>Reajuste Tarifário Anual - RTA</v>
      </c>
      <c r="D111" s="1152"/>
      <c r="E111" s="1152"/>
      <c r="F111" s="1152"/>
      <c r="L111" s="565"/>
      <c r="M111" s="548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6" t="s">
        <v>753</v>
      </c>
      <c r="C112" s="780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80"/>
      <c r="E112" s="780"/>
      <c r="F112" s="780"/>
      <c r="L112" s="565"/>
      <c r="M112" s="548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5" t="s">
        <v>754</v>
      </c>
      <c r="C113" s="778" t="str">
        <f>VLOOKUP(C9,Informacoes[],37,FALSE)</f>
        <v>Não</v>
      </c>
      <c r="D113" s="778"/>
      <c r="E113" s="778"/>
      <c r="F113" s="778"/>
      <c r="L113" s="565"/>
      <c r="M113" s="548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6" t="s">
        <v>755</v>
      </c>
      <c r="C114" s="779">
        <f>VLOOKUP(C9,Informacoes[],38,FALSE)</f>
        <v>0</v>
      </c>
      <c r="D114" s="779"/>
      <c r="E114" s="779"/>
      <c r="F114" s="779"/>
      <c r="L114" s="565"/>
      <c r="M114" s="548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5"/>
      <c r="M115" s="548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5"/>
      <c r="M116" s="548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5"/>
      <c r="M117" s="548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756</v>
      </c>
      <c r="C118" s="231"/>
      <c r="L118" s="565"/>
      <c r="M118" s="548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54" t="s">
        <v>238</v>
      </c>
      <c r="C119" s="1154" t="s">
        <v>238</v>
      </c>
      <c r="L119" s="565"/>
      <c r="M119" s="548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55" t="str">
        <f>LnkTXTSigla</f>
        <v>Cercos</v>
      </c>
      <c r="C120" s="1156" t="str">
        <f>LnkTXTSuprid1</f>
        <v>Energisa SE</v>
      </c>
      <c r="L120" s="565"/>
      <c r="M120" s="548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5"/>
      <c r="M121" s="548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5"/>
      <c r="M122" s="548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5"/>
      <c r="M123" s="548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5"/>
      <c r="M124" s="548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5"/>
      <c r="M125" s="548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5"/>
      <c r="M126" s="548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5"/>
      <c r="M127" s="548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5"/>
      <c r="M128" s="548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8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8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8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8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8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8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8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8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8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8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8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8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8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8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8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8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8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8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8"/>
    </row>
    <row r="148" spans="13:84">
      <c r="M148" s="548"/>
    </row>
    <row r="149" spans="13:84">
      <c r="M149" s="548"/>
    </row>
    <row r="150" spans="13:84">
      <c r="M150" s="548"/>
    </row>
    <row r="151" spans="13:84">
      <c r="M151" s="548"/>
    </row>
    <row r="152" spans="13:84">
      <c r="M152" s="548"/>
    </row>
    <row r="153" spans="13:84">
      <c r="M153" s="548"/>
    </row>
    <row r="154" spans="13:84">
      <c r="M154" s="548"/>
    </row>
    <row r="155" spans="13:84">
      <c r="M155" s="548"/>
    </row>
    <row r="156" spans="13:84">
      <c r="M156" s="548"/>
    </row>
    <row r="157" spans="13:84">
      <c r="M157" s="548"/>
    </row>
    <row r="158" spans="13:84">
      <c r="M158" s="548"/>
    </row>
    <row r="159" spans="13:84">
      <c r="M159" s="548"/>
    </row>
    <row r="160" spans="13:84">
      <c r="M160" s="548"/>
    </row>
    <row r="161" spans="13:13">
      <c r="M161" s="548"/>
    </row>
    <row r="162" spans="13:13">
      <c r="M162" s="548"/>
    </row>
    <row r="163" spans="13:13">
      <c r="M163" s="548"/>
    </row>
    <row r="164" spans="13:13">
      <c r="M164" s="548"/>
    </row>
    <row r="165" spans="13:13">
      <c r="M165" s="548"/>
    </row>
    <row r="166" spans="13:13">
      <c r="M166" s="548"/>
    </row>
    <row r="167" spans="13:13">
      <c r="M167" s="548"/>
    </row>
    <row r="168" spans="13:13">
      <c r="M168" s="548"/>
    </row>
    <row r="169" spans="13:13">
      <c r="M169" s="548"/>
    </row>
    <row r="170" spans="13:13">
      <c r="M170" s="548"/>
    </row>
    <row r="171" spans="13:13">
      <c r="M171" s="548"/>
    </row>
    <row r="172" spans="13:13">
      <c r="M172" s="548"/>
    </row>
    <row r="173" spans="13:13">
      <c r="M173" s="548"/>
    </row>
    <row r="174" spans="13:13">
      <c r="M174" s="548"/>
    </row>
    <row r="175" spans="13:13">
      <c r="M175" s="548"/>
    </row>
    <row r="176" spans="13:13">
      <c r="M176" s="548"/>
    </row>
    <row r="177" spans="13:13">
      <c r="M177" s="548"/>
    </row>
    <row r="178" spans="13:13">
      <c r="M178" s="548"/>
    </row>
    <row r="179" spans="13:13">
      <c r="M179" s="548"/>
    </row>
    <row r="180" spans="13:13">
      <c r="M180" s="548"/>
    </row>
    <row r="181" spans="13:13">
      <c r="M181" s="548"/>
    </row>
    <row r="182" spans="13:13">
      <c r="M182" s="548"/>
    </row>
    <row r="183" spans="13:13">
      <c r="M183" s="548"/>
    </row>
    <row r="184" spans="13:13">
      <c r="M184" s="548"/>
    </row>
    <row r="185" spans="13:13">
      <c r="M185" s="548"/>
    </row>
    <row r="186" spans="13:13">
      <c r="M186" s="548"/>
    </row>
  </sheetData>
  <dataConsolidate function="product" link="1">
    <dataRefs count="1">
      <dataRef ref="H66:H69" sheet="CAPA"/>
    </dataRefs>
  </dataConsolidate>
  <mergeCells count="28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topLeftCell="A10" workbookViewId="0">
      <selection activeCell="K22" sqref="K22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57" t="s">
        <v>757</v>
      </c>
      <c r="C1" s="1158"/>
      <c r="D1" s="70"/>
      <c r="E1" s="70"/>
      <c r="F1" s="70"/>
      <c r="G1" s="75"/>
    </row>
    <row r="2" spans="1:15" ht="16.5">
      <c r="A2" s="139"/>
      <c r="B2" s="638" t="str">
        <f ca="1">CAPA!C9&amp; " - " &amp;CAPA!C110&amp;" "&amp;AnoRefTar</f>
        <v>Cercos - REAJUSTE 2022</v>
      </c>
      <c r="C2" s="70"/>
      <c r="D2" s="70"/>
      <c r="E2" s="70"/>
      <c r="F2" s="70"/>
      <c r="G2" s="75"/>
      <c r="H2" s="381" t="s">
        <v>758</v>
      </c>
      <c r="I2" s="687">
        <v>44693.675312500003</v>
      </c>
      <c r="K2" s="722" t="s">
        <v>759</v>
      </c>
      <c r="L2" s="723"/>
    </row>
    <row r="3" spans="1:15" ht="16.5" customHeight="1">
      <c r="A3" s="139"/>
      <c r="B3" s="1065" t="s">
        <v>760</v>
      </c>
      <c r="C3" s="831"/>
      <c r="D3" s="75"/>
      <c r="E3" s="75"/>
      <c r="F3" s="75"/>
      <c r="G3" s="75"/>
      <c r="H3" s="688" t="s">
        <v>761</v>
      </c>
      <c r="I3" s="688">
        <v>14</v>
      </c>
      <c r="K3" s="724" t="s">
        <v>762</v>
      </c>
      <c r="L3" s="686">
        <v>0.14967900082180763</v>
      </c>
    </row>
    <row r="4" spans="1:15" ht="16.5">
      <c r="A4" s="139"/>
      <c r="G4" s="75"/>
      <c r="H4" s="68" t="s">
        <v>2279</v>
      </c>
      <c r="I4" s="68" t="s">
        <v>2280</v>
      </c>
      <c r="J4" s="9"/>
      <c r="K4" s="724" t="s">
        <v>763</v>
      </c>
      <c r="L4" s="686">
        <v>0.22232672961748845</v>
      </c>
    </row>
    <row r="5" spans="1:15" ht="16.5" customHeight="1">
      <c r="A5" s="139"/>
      <c r="B5" s="1159" t="s">
        <v>764</v>
      </c>
      <c r="C5" s="1160">
        <f ca="1">D39+D34</f>
        <v>10512365.860846167</v>
      </c>
      <c r="D5" s="144"/>
      <c r="E5" s="79"/>
      <c r="G5" s="75"/>
      <c r="H5" s="1677" t="s">
        <v>2281</v>
      </c>
      <c r="I5" s="68" t="s">
        <v>2282</v>
      </c>
      <c r="J5" s="275"/>
      <c r="K5" s="725" t="s">
        <v>765</v>
      </c>
      <c r="L5" s="693">
        <v>0.22057385430503129</v>
      </c>
    </row>
    <row r="6" spans="1:15" ht="16.5" customHeight="1">
      <c r="A6" s="139"/>
      <c r="B6" s="76" t="s">
        <v>766</v>
      </c>
      <c r="C6" s="77">
        <f ca="1">Mercado_RA0_Reais</f>
        <v>8669186.6415299959</v>
      </c>
      <c r="D6" s="77"/>
      <c r="E6" s="485"/>
      <c r="F6" s="75"/>
      <c r="G6" s="140"/>
      <c r="H6" s="81"/>
      <c r="J6" s="275"/>
      <c r="K6" s="726" t="s">
        <v>767</v>
      </c>
      <c r="L6" s="727">
        <v>914.6400000000001</v>
      </c>
      <c r="M6" s="79"/>
    </row>
    <row r="7" spans="1:15" ht="16.5" customHeight="1">
      <c r="A7" s="139"/>
      <c r="B7" s="1161" t="str">
        <f>IF(CAPA!P1="FALSO","IRT Economico","Variação econômica")</f>
        <v>Variação econômica</v>
      </c>
      <c r="C7" s="1162">
        <f ca="1">ROUND((C5/C6-1),4)</f>
        <v>0.21260000000000001</v>
      </c>
      <c r="D7" s="502"/>
      <c r="E7" s="75"/>
      <c r="F7" s="75"/>
      <c r="G7" s="75"/>
      <c r="H7" s="81"/>
      <c r="K7" s="49" t="s">
        <v>768</v>
      </c>
      <c r="L7" s="1678">
        <f>L6/'Tabelas e Gráficos'!U39-1</f>
        <v>0.20145018915510726</v>
      </c>
    </row>
    <row r="8" spans="1:15" ht="16.5" customHeight="1">
      <c r="A8" s="139"/>
      <c r="B8" s="78" t="s">
        <v>769</v>
      </c>
      <c r="C8" s="257">
        <f ca="1">ROUND(Financeiros!E7,4)</f>
        <v>-0.12870000000000001</v>
      </c>
      <c r="D8" s="503"/>
      <c r="E8" s="75"/>
      <c r="F8" s="500"/>
      <c r="G8" s="75"/>
      <c r="H8" s="81"/>
      <c r="K8" s="728" t="s">
        <v>770</v>
      </c>
      <c r="L8" s="729" t="s">
        <v>2224</v>
      </c>
      <c r="M8" s="689" t="s">
        <v>772</v>
      </c>
    </row>
    <row r="9" spans="1:15" ht="16.5" customHeight="1">
      <c r="A9" s="139"/>
      <c r="B9" s="1163" t="str">
        <f>IF(CAPA!P1="FALSO","IRT Economico e Financeiro","Variação econômica e financeira")</f>
        <v>Variação econômica e financeira</v>
      </c>
      <c r="C9" s="1164">
        <f ca="1">ROUND((C7+C8),5)</f>
        <v>8.3900000000000002E-2</v>
      </c>
      <c r="D9" s="502"/>
      <c r="E9" s="502"/>
      <c r="F9" s="75"/>
      <c r="G9" s="75"/>
      <c r="K9" s="724" t="s">
        <v>773</v>
      </c>
      <c r="L9" s="730">
        <f>Aj.Subsídio!G28*12</f>
        <v>0</v>
      </c>
      <c r="M9" s="730">
        <v>0</v>
      </c>
    </row>
    <row r="10" spans="1:15" ht="16.5" customHeight="1">
      <c r="A10" s="139"/>
      <c r="B10" s="1163" t="s">
        <v>774</v>
      </c>
      <c r="C10" s="1164">
        <f ca="1">ROUND((LnkTXTEfeito-LnkTXTIRTTotal),4)</f>
        <v>0.13669999999999999</v>
      </c>
      <c r="D10" s="733">
        <f ca="1">LnKTxTRA1+Financeiros!D5</f>
        <v>9396706.0713077802</v>
      </c>
      <c r="E10" s="75"/>
      <c r="F10" s="75"/>
      <c r="G10" s="75"/>
      <c r="K10" s="724" t="s">
        <v>775</v>
      </c>
      <c r="L10" s="730">
        <f>Aj.Subsídio!G29*12</f>
        <v>0</v>
      </c>
      <c r="M10" s="730">
        <v>0</v>
      </c>
    </row>
    <row r="11" spans="1:15" ht="16.5" customHeight="1">
      <c r="A11" s="139"/>
      <c r="B11" s="1065" t="s">
        <v>776</v>
      </c>
      <c r="C11" s="831"/>
      <c r="D11" s="1165"/>
      <c r="E11" s="1165"/>
      <c r="F11" s="1165"/>
      <c r="G11" s="75"/>
      <c r="K11" s="724" t="s">
        <v>777</v>
      </c>
      <c r="L11" s="730">
        <f>Aj.Subsídio!G30*12</f>
        <v>0</v>
      </c>
      <c r="M11" s="730">
        <v>0</v>
      </c>
    </row>
    <row r="12" spans="1:15" ht="16.5" customHeight="1">
      <c r="E12" s="1166"/>
      <c r="F12" s="1166"/>
      <c r="K12" s="724" t="s">
        <v>778</v>
      </c>
      <c r="L12" s="730">
        <f>Aj.Subsídio!G31*12</f>
        <v>31894.199999999997</v>
      </c>
      <c r="M12" s="730">
        <v>20590.136498970503</v>
      </c>
      <c r="O12" s="912"/>
    </row>
    <row r="13" spans="1:15" ht="14.25">
      <c r="B13" s="1167"/>
      <c r="C13" s="1168" t="s">
        <v>771</v>
      </c>
      <c r="D13" s="1169" t="s">
        <v>772</v>
      </c>
      <c r="E13" s="1168" t="s">
        <v>779</v>
      </c>
      <c r="F13" s="1167" t="s">
        <v>780</v>
      </c>
      <c r="K13" s="724" t="s">
        <v>781</v>
      </c>
      <c r="L13" s="730">
        <f>Aj.Subsídio!G32*12</f>
        <v>253423.32</v>
      </c>
      <c r="M13" s="730">
        <v>138122.56280162229</v>
      </c>
      <c r="O13" s="912"/>
    </row>
    <row r="14" spans="1:15" ht="14.25">
      <c r="B14" s="1170" t="s">
        <v>782</v>
      </c>
      <c r="C14" s="1171">
        <f ca="1">SUM(C15:C23)</f>
        <v>298188.78353336581</v>
      </c>
      <c r="D14" s="1172">
        <f ca="1">SUM(D15:D23)</f>
        <v>472178.54029000649</v>
      </c>
      <c r="E14" s="1173">
        <f t="shared" ref="E14:E34" ca="1" si="0">(D14-C14)/LnkTXTRA0</f>
        <v>2.0069905511451051E-2</v>
      </c>
      <c r="F14" s="1174">
        <f ca="1">IF(ISERROR(D14/C14-1),"-",D14/C14-1)</f>
        <v>0.58348860307541406</v>
      </c>
      <c r="G14" s="292"/>
      <c r="H14" s="101"/>
      <c r="K14" s="724" t="s">
        <v>783</v>
      </c>
      <c r="L14" s="730">
        <f>Aj.Subsídio!G33*12</f>
        <v>16948.800000000003</v>
      </c>
      <c r="M14" s="730">
        <v>31388.429561335084</v>
      </c>
      <c r="O14" s="912"/>
    </row>
    <row r="15" spans="1:15" ht="14.25" hidden="1">
      <c r="B15" s="78" t="s">
        <v>784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67" t="e">
        <f>VLOOKUP(K15,BD!$B$61:$C$66,2,FALSE)</f>
        <v>#N/A</v>
      </c>
      <c r="M15" s="49"/>
    </row>
    <row r="16" spans="1:15" ht="14.25" hidden="1">
      <c r="B16" s="78" t="s">
        <v>785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67" t="e">
        <f>VLOOKUP(K16,BD!$B$61:$C$66,2,FALSE)</f>
        <v>#N/A</v>
      </c>
    </row>
    <row r="17" spans="2:14" ht="14.25">
      <c r="B17" s="78" t="s">
        <v>786</v>
      </c>
      <c r="C17" s="225">
        <f ca="1">Mercado_Faturado_Encargo_TFSEE_BRUTO</f>
        <v>17767.951796684072</v>
      </c>
      <c r="D17" s="133">
        <f ca="1">Encargos!C6</f>
        <v>22294.131810006256</v>
      </c>
      <c r="E17" s="223">
        <f t="shared" ca="1" si="0"/>
        <v>5.2209973097584316E-4</v>
      </c>
      <c r="F17" s="258">
        <f t="shared" ca="1" si="1"/>
        <v>0.25473842258885893</v>
      </c>
      <c r="G17" s="292"/>
    </row>
    <row r="18" spans="2:14" ht="14.25">
      <c r="B18" s="78" t="s">
        <v>787</v>
      </c>
      <c r="C18" s="226">
        <f ca="1">Mercado_Faturado_Encargo_CDE_BRUTO</f>
        <v>198831.46699689492</v>
      </c>
      <c r="D18" s="227">
        <f ca="1">Encargos!C7</f>
        <v>326721.76126000017</v>
      </c>
      <c r="E18" s="224">
        <f t="shared" ca="1" si="0"/>
        <v>1.4752282947796165E-2</v>
      </c>
      <c r="F18" s="258">
        <f t="shared" ca="1" si="1"/>
        <v>0.64320952912902096</v>
      </c>
      <c r="G18" s="292"/>
      <c r="H18" s="142"/>
      <c r="K18" s="49" t="s">
        <v>788</v>
      </c>
      <c r="L18" s="731">
        <v>44693.686793981484</v>
      </c>
      <c r="M18" s="49"/>
      <c r="N18" s="632"/>
    </row>
    <row r="19" spans="2:14" ht="16.5" hidden="1" customHeight="1">
      <c r="B19" s="78" t="s">
        <v>789</v>
      </c>
      <c r="C19" s="225">
        <f ca="1">Mercado_Faturado_Encargo_CFURH_BRUTO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4" t="s">
        <v>790</v>
      </c>
      <c r="L19" s="724"/>
      <c r="M19" s="724"/>
      <c r="N19" s="295"/>
    </row>
    <row r="20" spans="2:14" ht="14.25">
      <c r="B20" s="78" t="s">
        <v>791</v>
      </c>
      <c r="C20" s="225">
        <f ca="1">Mercado_Faturado_Encargo_ESSERR_BRUTO*0</f>
        <v>0</v>
      </c>
      <c r="D20" s="133">
        <f>Encargos!C9</f>
        <v>0</v>
      </c>
      <c r="E20" s="223">
        <f t="shared" ca="1" si="0"/>
        <v>0</v>
      </c>
      <c r="F20" s="258" t="str">
        <f t="shared" ca="1" si="1"/>
        <v>-</v>
      </c>
      <c r="G20" s="292"/>
      <c r="K20" s="724" t="s">
        <v>792</v>
      </c>
      <c r="L20" s="732"/>
      <c r="M20" s="732"/>
    </row>
    <row r="21" spans="2:14" ht="14.25">
      <c r="B21" s="78" t="s">
        <v>47</v>
      </c>
      <c r="C21" s="225">
        <f ca="1">Mercado_Faturado_Encargo_PROINFA_BRUTO</f>
        <v>81589.364739786834</v>
      </c>
      <c r="D21" s="133">
        <f ca="1">Encargos!C10</f>
        <v>123162.64722000006</v>
      </c>
      <c r="E21" s="223">
        <f t="shared" ca="1" si="0"/>
        <v>4.7955228326790403E-3</v>
      </c>
      <c r="F21" s="258">
        <f t="shared" ca="1" si="1"/>
        <v>0.50954291178516953</v>
      </c>
      <c r="G21" s="292"/>
      <c r="L21" s="198"/>
    </row>
    <row r="22" spans="2:14" ht="14.25">
      <c r="B22" s="78" t="s">
        <v>793</v>
      </c>
      <c r="C22" s="225">
        <f ca="1">Mercado_Faturado_Encargo_PeD_BRUTO*0</f>
        <v>0</v>
      </c>
      <c r="D22" s="405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75" t="s">
        <v>794</v>
      </c>
      <c r="C24" s="1171">
        <f ca="1">SUM(C25:C32)</f>
        <v>1233351.9575227718</v>
      </c>
      <c r="D24" s="1172">
        <f>SUM(D25:D32)</f>
        <v>1447629.078219</v>
      </c>
      <c r="E24" s="1173">
        <f t="shared" ca="1" si="0"/>
        <v>2.4717096257880447E-2</v>
      </c>
      <c r="F24" s="1174">
        <f t="shared" ca="1" si="1"/>
        <v>0.17373558244202325</v>
      </c>
      <c r="G24" s="292"/>
      <c r="J24"/>
      <c r="K24" s="23"/>
      <c r="L24" s="198"/>
    </row>
    <row r="25" spans="2:14" ht="14.25">
      <c r="B25" s="81" t="s">
        <v>704</v>
      </c>
      <c r="C25" s="225">
        <f ca="1">IFERROR(Calc_Mercado!C91,0)</f>
        <v>0</v>
      </c>
      <c r="D25" s="133">
        <f>'Rede Básica + Ajuste'!D9+'Rede Básica + Ajuste'!D10</f>
        <v>0</v>
      </c>
      <c r="E25" s="223">
        <f t="shared" ref="E25:E32" ca="1" si="2">(D25-C25)/LnkTXTRA0</f>
        <v>0</v>
      </c>
      <c r="F25" s="259" t="str">
        <f t="shared" ca="1" si="1"/>
        <v>-</v>
      </c>
      <c r="G25" s="292"/>
      <c r="J25" s="198"/>
      <c r="K25" s="198"/>
      <c r="L25" s="198"/>
    </row>
    <row r="26" spans="2:14" ht="14.25">
      <c r="B26" s="81" t="s">
        <v>706</v>
      </c>
      <c r="C26" s="225">
        <f ca="1">IFERROR(Calc_Mercado!C89,0)</f>
        <v>0</v>
      </c>
      <c r="D26" s="133">
        <f>'Rede Básica + Ajuste'!E9+'Rede Básica + Ajuste'!E10</f>
        <v>0</v>
      </c>
      <c r="E26" s="223">
        <f t="shared" ca="1" si="2"/>
        <v>0</v>
      </c>
      <c r="F26" s="259" t="str">
        <f t="shared" ca="1" si="1"/>
        <v>-</v>
      </c>
      <c r="G26" s="292"/>
      <c r="J26" s="198"/>
      <c r="K26" s="198"/>
      <c r="L26" s="198"/>
    </row>
    <row r="27" spans="2:14" ht="14.25">
      <c r="B27" s="81" t="s">
        <v>795</v>
      </c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796</v>
      </c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797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798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707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708</v>
      </c>
      <c r="C32" s="225">
        <f ca="1">Calc_Mercado!C96</f>
        <v>1233351.9575227718</v>
      </c>
      <c r="D32" s="133">
        <f>CUSD!C3</f>
        <v>1447629.078219</v>
      </c>
      <c r="E32" s="223">
        <f t="shared" ca="1" si="2"/>
        <v>2.4717096257880447E-2</v>
      </c>
      <c r="F32" s="259">
        <f t="shared" ca="1" si="1"/>
        <v>0.17373558244202325</v>
      </c>
      <c r="G32" s="292"/>
    </row>
    <row r="33" spans="2:8" ht="14.25">
      <c r="B33" s="1175" t="s">
        <v>120</v>
      </c>
      <c r="C33" s="1171">
        <f ca="1">SUM(Calc_Mercado!C79:C84)</f>
        <v>2906482.5731358528</v>
      </c>
      <c r="D33" s="1172">
        <f ca="1">Energia!F23</f>
        <v>3218115.4223371609</v>
      </c>
      <c r="E33" s="1173">
        <f t="shared" ca="1" si="0"/>
        <v>3.5947184215462807E-2</v>
      </c>
      <c r="F33" s="1174">
        <f ca="1">IF(ISERROR(D33/C33-1),"-",D33/C33-1)</f>
        <v>0.10721992695971405</v>
      </c>
      <c r="G33" s="292"/>
    </row>
    <row r="34" spans="2:8" ht="14.25">
      <c r="B34" s="1176" t="s">
        <v>799</v>
      </c>
      <c r="C34" s="1177">
        <f ca="1">C14+C24+C33</f>
        <v>4438023.3141919905</v>
      </c>
      <c r="D34" s="1178">
        <f ca="1">D33+D24+D14</f>
        <v>5137923.0408461671</v>
      </c>
      <c r="E34" s="1179">
        <f t="shared" ca="1" si="0"/>
        <v>8.073418598479426E-2</v>
      </c>
      <c r="F34" s="1180">
        <f ca="1">IF(ISERROR(D34/C34-1),"-",D34/C34-1)</f>
        <v>0.15770528388528837</v>
      </c>
      <c r="G34" s="292"/>
    </row>
    <row r="35" spans="2:8" ht="14.25">
      <c r="G35" s="69"/>
      <c r="H35" s="108"/>
    </row>
    <row r="36" spans="2:8" ht="14.25">
      <c r="B36" s="1065" t="s">
        <v>109</v>
      </c>
      <c r="C36" s="831"/>
      <c r="D36" s="831"/>
      <c r="E36" s="1165"/>
      <c r="F36" s="1165"/>
      <c r="G36" s="69"/>
    </row>
    <row r="37" spans="2:8" ht="8.25" customHeight="1">
      <c r="G37" s="69"/>
      <c r="H37" s="142"/>
    </row>
    <row r="38" spans="2:8" ht="15.75" customHeight="1">
      <c r="B38" s="690"/>
      <c r="C38" s="690" t="s">
        <v>771</v>
      </c>
      <c r="D38" s="690" t="s">
        <v>772</v>
      </c>
      <c r="E38" s="1181" t="s">
        <v>779</v>
      </c>
      <c r="F38" s="690" t="s">
        <v>780</v>
      </c>
      <c r="G38" s="69"/>
      <c r="H38" s="143"/>
    </row>
    <row r="39" spans="2:8" ht="15.75" customHeight="1">
      <c r="B39" s="1182" t="s">
        <v>800</v>
      </c>
      <c r="C39" s="1183">
        <f ca="1">LnkTXTRA0-C34</f>
        <v>4231163.3273380054</v>
      </c>
      <c r="D39" s="1184">
        <f>IFERROR(IF(CAPA!P1="VERDADEIRO",SMALL(IF(LnkTXTPBReq=0,CAPA!K29,LnkTXTPBReq):LNKTXTLImPB,1),C39*(1+LnkTXTIPCA-CAPA!H42)),0)</f>
        <v>5374442.8200000003</v>
      </c>
      <c r="E39" s="1185">
        <f ca="1">(D39-C39)/LnkTXTRA0</f>
        <v>0.13187851870498213</v>
      </c>
      <c r="F39" s="1186">
        <f ca="1">IF(ISERROR(D39/C39-1),"-",D39/C39-1)</f>
        <v>0.27020452868721523</v>
      </c>
      <c r="G39" s="69"/>
      <c r="H39" s="142"/>
    </row>
    <row r="40" spans="2:8" ht="14.25">
      <c r="B40" s="735"/>
      <c r="C40" s="736"/>
      <c r="D40" s="737"/>
      <c r="E40" s="735"/>
      <c r="F40" s="735"/>
    </row>
    <row r="41" spans="2:8" ht="14.25">
      <c r="B41" s="1065" t="s">
        <v>801</v>
      </c>
      <c r="C41" s="831"/>
      <c r="D41" s="831"/>
      <c r="E41" s="1165"/>
      <c r="F41" s="1165"/>
    </row>
    <row r="42" spans="2:8" ht="9" customHeight="1">
      <c r="E42" s="75"/>
      <c r="F42" s="75"/>
    </row>
    <row r="43" spans="2:8" ht="15.75" customHeight="1">
      <c r="B43" s="735"/>
      <c r="C43" s="1167" t="s">
        <v>802</v>
      </c>
      <c r="D43" s="1167" t="s">
        <v>779</v>
      </c>
      <c r="E43" s="473" t="s">
        <v>803</v>
      </c>
      <c r="F43" s="473"/>
      <c r="G43" s="473"/>
    </row>
    <row r="44" spans="2:8" ht="15.75" customHeight="1">
      <c r="B44" s="1187" t="s">
        <v>804</v>
      </c>
      <c r="C44" s="1188">
        <f ca="1">SUM(C45:C64)</f>
        <v>-1115659.7895383865</v>
      </c>
      <c r="D44" s="1189">
        <f ca="1">C44/Financeiros!D4</f>
        <v>-0.12869255625363804</v>
      </c>
      <c r="E44" s="473">
        <f t="shared" ref="E44:E99" ca="1" si="3">IF(D44=0,0,1)</f>
        <v>1</v>
      </c>
      <c r="F44" s="473"/>
      <c r="G44" s="473"/>
    </row>
    <row r="45" spans="2:8" ht="15.75" customHeight="1">
      <c r="B45" s="82" t="str">
        <f>Financeiros!C9</f>
        <v>Repasse de PIS COFINS</v>
      </c>
      <c r="C45" s="1672">
        <f>Financeiros!D9</f>
        <v>178109.88409763679</v>
      </c>
      <c r="D45" s="479">
        <f ca="1">C45/Financeiros!$D$4</f>
        <v>2.0545166630096083E-2</v>
      </c>
      <c r="E45" s="473">
        <f t="shared" ca="1" si="3"/>
        <v>1</v>
      </c>
      <c r="F45" s="473"/>
      <c r="G45" s="473"/>
    </row>
    <row r="46" spans="2:8" ht="15.75" customHeight="1">
      <c r="B46" s="82" t="s">
        <v>805</v>
      </c>
      <c r="C46" s="1672">
        <f ca="1">LnkTXTNeutralidade</f>
        <v>-4744.8044114288241</v>
      </c>
      <c r="D46" s="479">
        <f ca="1">C46/Financeiros!$D$4</f>
        <v>-5.4731829035710195E-4</v>
      </c>
      <c r="E46" s="473">
        <f t="shared" ca="1" si="3"/>
        <v>1</v>
      </c>
      <c r="F46" s="473"/>
      <c r="G46" s="473"/>
    </row>
    <row r="47" spans="2:8" ht="15.75" hidden="1" customHeight="1">
      <c r="B47" s="83" t="str">
        <f>Financeiros!C21</f>
        <v>Manual de Contabilidade do Setor Elétrico</v>
      </c>
      <c r="C47" s="1673">
        <f>Financeiros!D21</f>
        <v>0</v>
      </c>
      <c r="D47" s="479">
        <f ca="1">C47/Financeiros!$D$4</f>
        <v>0</v>
      </c>
      <c r="E47" s="473">
        <f t="shared" ca="1" si="3"/>
        <v>0</v>
      </c>
      <c r="F47" s="473"/>
      <c r="G47" s="473"/>
    </row>
    <row r="48" spans="2:8" ht="15.75" hidden="1" customHeight="1">
      <c r="B48" s="68" t="str">
        <f>Financeiros!C23</f>
        <v>Ajustes Processos anteriores</v>
      </c>
      <c r="C48" s="1672">
        <f>Financeiros!D23</f>
        <v>0</v>
      </c>
      <c r="D48" s="479">
        <f ca="1">C48/Financeiros!$D$4</f>
        <v>0</v>
      </c>
      <c r="E48" s="473">
        <f t="shared" ca="1" si="3"/>
        <v>0</v>
      </c>
      <c r="F48" s="473"/>
      <c r="G48" s="473"/>
    </row>
    <row r="49" spans="2:5" ht="15.75" hidden="1" customHeight="1">
      <c r="B49" s="83" t="str">
        <f>Financeiros!C24</f>
        <v>Ajuste CUST + PISCONFINS Transmissão</v>
      </c>
      <c r="C49" s="1673">
        <f>Financeiros!D24</f>
        <v>0</v>
      </c>
      <c r="D49" s="479">
        <f ca="1">C49/Financeiros!$D$4</f>
        <v>0</v>
      </c>
      <c r="E49" s="473">
        <f t="shared" ca="1" si="3"/>
        <v>0</v>
      </c>
    </row>
    <row r="50" spans="2:5" ht="15.75" hidden="1" customHeight="1">
      <c r="B50" s="68" t="str">
        <f>Financeiros!C25</f>
        <v>Compensação DIC FIC</v>
      </c>
      <c r="C50" s="1673">
        <f>Financeiros!D25</f>
        <v>0</v>
      </c>
      <c r="D50" s="479">
        <f ca="1">C50/Financeiros!$D$4</f>
        <v>0</v>
      </c>
      <c r="E50" s="473">
        <f t="shared" ca="1" si="3"/>
        <v>0</v>
      </c>
    </row>
    <row r="51" spans="2:5" ht="15.75" customHeight="1">
      <c r="B51" s="68" t="str">
        <f>Financeiros!C26</f>
        <v>Subvenção CDE</v>
      </c>
      <c r="C51" s="1673">
        <f ca="1">Financeiros!D26</f>
        <v>-1029915.1601314496</v>
      </c>
      <c r="D51" s="479">
        <f ca="1">C51/Financeiros!$D$4</f>
        <v>-0.11880182106099901</v>
      </c>
      <c r="E51" s="473">
        <f t="shared" ca="1" si="3"/>
        <v>1</v>
      </c>
    </row>
    <row r="52" spans="2:5" ht="15.75" hidden="1" customHeight="1">
      <c r="B52" s="68" t="str">
        <f>Financeiros!C27</f>
        <v>Retenção de Adicionais de Bandeiras Tarifárias</v>
      </c>
      <c r="C52" s="1673">
        <f>Financeiros!D27</f>
        <v>0</v>
      </c>
      <c r="D52" s="479">
        <f ca="1">C52/Financeiros!$D$4</f>
        <v>0</v>
      </c>
      <c r="E52" s="473">
        <f t="shared" ca="1" si="3"/>
        <v>0</v>
      </c>
    </row>
    <row r="53" spans="2:5" ht="15.75" hidden="1" customHeight="1">
      <c r="B53" s="68" t="str">
        <f>Financeiros!C28</f>
        <v>Multa LPT</v>
      </c>
      <c r="C53" s="1673">
        <f>Financeiros!D28</f>
        <v>0</v>
      </c>
      <c r="D53" s="479">
        <f ca="1">C53/Financeiros!$D$4</f>
        <v>0</v>
      </c>
      <c r="E53" s="473">
        <f t="shared" ca="1" si="3"/>
        <v>0</v>
      </c>
    </row>
    <row r="54" spans="2:5" ht="15.75" hidden="1" customHeight="1">
      <c r="B54" s="68" t="str">
        <f>Financeiros!C32</f>
        <v>Ressarcimento P&amp;D</v>
      </c>
      <c r="C54" s="1673">
        <f>Financeiros!D32</f>
        <v>0</v>
      </c>
      <c r="D54" s="479">
        <f ca="1">C54/Financeiros!$D$4</f>
        <v>0</v>
      </c>
      <c r="E54" s="473">
        <f t="shared" ca="1" si="3"/>
        <v>0</v>
      </c>
    </row>
    <row r="55" spans="2:5" ht="15.75" hidden="1" customHeight="1">
      <c r="B55" s="68" t="str">
        <f>Financeiros!C29</f>
        <v>Repasse de ICMS</v>
      </c>
      <c r="C55" s="1673">
        <f>Financeiros!D29</f>
        <v>0</v>
      </c>
      <c r="D55" s="770">
        <f ca="1">C55/Financeiros!$D$4</f>
        <v>0</v>
      </c>
      <c r="E55" s="473">
        <f t="shared" ca="1" si="3"/>
        <v>0</v>
      </c>
    </row>
    <row r="56" spans="2:5" ht="15.75" hidden="1" customHeight="1">
      <c r="B56" s="68" t="str">
        <f>Financeiros!C34</f>
        <v>Previsão de Risco Hidrologico</v>
      </c>
      <c r="C56" s="1673">
        <f>Financeiros!D34</f>
        <v>0</v>
      </c>
      <c r="D56" s="479">
        <f ca="1">C56/Financeiros!$D$4</f>
        <v>0</v>
      </c>
      <c r="E56" s="473">
        <f t="shared" ca="1" si="3"/>
        <v>0</v>
      </c>
    </row>
    <row r="57" spans="2:5" ht="15.75" hidden="1" customHeight="1">
      <c r="B57" s="68" t="str">
        <f>Financeiros!C35</f>
        <v>Efeito COVID da Supridora</v>
      </c>
      <c r="C57" s="1673">
        <f>Financeiros!D35</f>
        <v>0</v>
      </c>
      <c r="D57" s="479">
        <f ca="1">C57/Financeiros!$D$4</f>
        <v>0</v>
      </c>
      <c r="E57" s="473">
        <f t="shared" ca="1" si="3"/>
        <v>0</v>
      </c>
    </row>
    <row r="58" spans="2:5" ht="15.75" hidden="1" customHeight="1">
      <c r="B58" s="68" t="str">
        <f>Financeiros!C36</f>
        <v>Crédito de Pis Cofins sobre ICMS</v>
      </c>
      <c r="C58" s="1673">
        <f>Financeiros!D36</f>
        <v>0</v>
      </c>
      <c r="D58" s="479">
        <f ca="1">C58/Financeiros!$D$4</f>
        <v>0</v>
      </c>
      <c r="E58" s="473">
        <f t="shared" ca="1" si="3"/>
        <v>0</v>
      </c>
    </row>
    <row r="59" spans="2:5" ht="15.75" hidden="1" customHeight="1">
      <c r="B59" s="68" t="str">
        <f>Financeiros!C37</f>
        <v>Diferimento Pis Cofins TUSD</v>
      </c>
      <c r="C59" s="1673">
        <f>Financeiros!D37</f>
        <v>0</v>
      </c>
      <c r="D59" s="479">
        <f ca="1">C59/Financeiros!$D$4</f>
        <v>0</v>
      </c>
      <c r="E59" s="473">
        <f t="shared" ca="1" si="3"/>
        <v>0</v>
      </c>
    </row>
    <row r="60" spans="2:5" ht="15.75" customHeight="1">
      <c r="B60" s="68" t="str">
        <f>Financeiros!C38</f>
        <v>Diferimento de Energia - Pleito</v>
      </c>
      <c r="C60" s="1673">
        <f>Financeiros!D38</f>
        <v>-280000</v>
      </c>
      <c r="D60" s="479">
        <f ca="1">C60/Financeiros!$D$4</f>
        <v>-3.2298301049218582E-2</v>
      </c>
      <c r="E60" s="473">
        <f t="shared" ca="1" si="3"/>
        <v>1</v>
      </c>
    </row>
    <row r="61" spans="2:5" ht="15.75" hidden="1" customHeight="1">
      <c r="B61" s="68" t="str">
        <f>Financeiros!C39</f>
        <v>Financeiros associados ao §7º do Art. 88 da Ren 414/2021</v>
      </c>
      <c r="C61" s="1673">
        <f>Financeiros!D39</f>
        <v>0</v>
      </c>
      <c r="D61" s="479">
        <f ca="1">C61/Financeiros!$D$4</f>
        <v>0</v>
      </c>
      <c r="E61" s="473">
        <f t="shared" ca="1" si="3"/>
        <v>0</v>
      </c>
    </row>
    <row r="62" spans="2:5" ht="15.75" hidden="1" customHeight="1">
      <c r="B62" s="68">
        <f>Financeiros!C40</f>
        <v>0</v>
      </c>
      <c r="C62" s="1673">
        <f>Financeiros!D40</f>
        <v>0</v>
      </c>
      <c r="D62" s="479">
        <f ca="1">C62/Financeiros!$D$4</f>
        <v>0</v>
      </c>
      <c r="E62" s="473">
        <f t="shared" ca="1" si="3"/>
        <v>0</v>
      </c>
    </row>
    <row r="63" spans="2:5" ht="15.75" customHeight="1">
      <c r="B63" s="68" t="str">
        <f>Financeiros!C41</f>
        <v>Reversão Postergação Covid Tusd em 2021</v>
      </c>
      <c r="C63" s="1673">
        <f>Financeiros!D41</f>
        <v>-9235.4301805769537</v>
      </c>
      <c r="D63" s="479">
        <f ca="1">C63/Financeiros!$D$4</f>
        <v>-1.0653168010404056E-3</v>
      </c>
      <c r="E63" s="473">
        <f t="shared" ca="1" si="3"/>
        <v>1</v>
      </c>
    </row>
    <row r="64" spans="2:5" ht="15.75" customHeight="1">
      <c r="B64" s="68" t="str">
        <f>Financeiros!C42</f>
        <v>Reversão Postergação Covid TE em 2021</v>
      </c>
      <c r="C64" s="1673">
        <f>Financeiros!D42</f>
        <v>30125.72108743199</v>
      </c>
      <c r="D64" s="479">
        <f ca="1">C64/Financeiros!$D$4</f>
        <v>3.4750343178809682E-3</v>
      </c>
      <c r="E64" s="473">
        <f t="shared" ca="1" si="3"/>
        <v>1</v>
      </c>
    </row>
    <row r="65" spans="2:5" ht="15.75" hidden="1" customHeight="1">
      <c r="B65" s="68" t="str">
        <f>Financeiros!C43</f>
        <v>CVA ccc</v>
      </c>
      <c r="C65" s="460">
        <f>Financeiros!D43</f>
        <v>0</v>
      </c>
      <c r="D65" s="479">
        <f ca="1">C65/Financeiros!$D$4</f>
        <v>0</v>
      </c>
      <c r="E65" s="473">
        <f t="shared" ca="1" si="3"/>
        <v>0</v>
      </c>
    </row>
    <row r="66" spans="2:5" ht="15.75" hidden="1" customHeight="1">
      <c r="B66" s="68" t="str">
        <f>Financeiros!C44</f>
        <v>CVA cde</v>
      </c>
      <c r="C66" s="460">
        <f>Financeiros!D44</f>
        <v>0</v>
      </c>
      <c r="D66" s="479">
        <f ca="1">C66/Financeiros!$D$4</f>
        <v>0</v>
      </c>
      <c r="E66" s="473">
        <f t="shared" ca="1" si="3"/>
        <v>0</v>
      </c>
    </row>
    <row r="67" spans="2:5" ht="15.75" hidden="1" customHeight="1">
      <c r="B67" s="68" t="str">
        <f>Financeiros!C45</f>
        <v>CVA cde energia</v>
      </c>
      <c r="C67" s="460">
        <f>Financeiros!D45</f>
        <v>0</v>
      </c>
      <c r="D67" s="479">
        <f ca="1">C67/Financeiros!$D$4</f>
        <v>0</v>
      </c>
      <c r="E67" s="473">
        <f t="shared" ca="1" si="3"/>
        <v>0</v>
      </c>
    </row>
    <row r="68" spans="2:5" ht="15.75" hidden="1" customHeight="1">
      <c r="B68" s="68" t="str">
        <f>Financeiros!C46</f>
        <v>CVA RB - Nodal</v>
      </c>
      <c r="C68" s="460">
        <f>Financeiros!D46</f>
        <v>0</v>
      </c>
      <c r="D68" s="479">
        <f ca="1">C68/Financeiros!$D$4</f>
        <v>0</v>
      </c>
      <c r="E68" s="473">
        <f t="shared" ca="1" si="3"/>
        <v>0</v>
      </c>
    </row>
    <row r="69" spans="2:5" ht="15.75" hidden="1" customHeight="1">
      <c r="B69" s="68" t="str">
        <f>Financeiros!C47</f>
        <v>CVA RB - Fronteira</v>
      </c>
      <c r="C69" s="460">
        <f>Financeiros!D47</f>
        <v>0</v>
      </c>
      <c r="D69" s="479">
        <f ca="1">C69/Financeiros!$D$4</f>
        <v>0</v>
      </c>
      <c r="E69" s="473">
        <f t="shared" ca="1" si="3"/>
        <v>0</v>
      </c>
    </row>
    <row r="70" spans="2:5" ht="15.75" hidden="1" customHeight="1">
      <c r="B70" s="68" t="str">
        <f>Financeiros!C48</f>
        <v>CVA RB - TUSDg EXP</v>
      </c>
      <c r="C70" s="460">
        <f>Financeiros!D48</f>
        <v>0</v>
      </c>
      <c r="D70" s="479">
        <f ca="1">C70/Financeiros!$D$4</f>
        <v>0</v>
      </c>
      <c r="E70" s="473">
        <f t="shared" ca="1" si="3"/>
        <v>0</v>
      </c>
    </row>
    <row r="71" spans="2:5" ht="15.75" hidden="1" customHeight="1">
      <c r="B71" s="68" t="str">
        <f>Financeiros!C49</f>
        <v>CVA RB - TUSDg ONS</v>
      </c>
      <c r="C71" s="460">
        <f>Financeiros!D49</f>
        <v>0</v>
      </c>
      <c r="D71" s="479">
        <f ca="1">C71/Financeiros!$D$4</f>
        <v>0</v>
      </c>
      <c r="E71" s="473">
        <f t="shared" ca="1" si="3"/>
        <v>0</v>
      </c>
    </row>
    <row r="72" spans="2:5" ht="15.75" hidden="1" customHeight="1">
      <c r="B72" s="68" t="str">
        <f>Financeiros!C50</f>
        <v>CVA RB - EUST Itaipu</v>
      </c>
      <c r="C72" s="460">
        <f>Financeiros!D50</f>
        <v>0</v>
      </c>
      <c r="D72" s="479">
        <f ca="1">C72/Financeiros!$D$4</f>
        <v>0</v>
      </c>
      <c r="E72" s="473">
        <f t="shared" ca="1" si="3"/>
        <v>0</v>
      </c>
    </row>
    <row r="73" spans="2:5" ht="15.75" hidden="1" customHeight="1">
      <c r="B73" s="68" t="str">
        <f>Financeiros!C51</f>
        <v>CVA - Transporte Itaipu</v>
      </c>
      <c r="C73" s="460">
        <f>Financeiros!D51</f>
        <v>0</v>
      </c>
      <c r="D73" s="479">
        <f ca="1">C73/Financeiros!$D$4</f>
        <v>0</v>
      </c>
      <c r="E73" s="473">
        <f t="shared" ca="1" si="3"/>
        <v>0</v>
      </c>
    </row>
    <row r="74" spans="2:5" ht="15.75" hidden="1" customHeight="1">
      <c r="B74" s="68" t="str">
        <f>Financeiros!C52</f>
        <v>CVA - Energia - Energia de Revenda</v>
      </c>
      <c r="C74" s="460">
        <f ca="1">Financeiros!D52</f>
        <v>0</v>
      </c>
      <c r="D74" s="479">
        <f ca="1">C74/Financeiros!$D$4</f>
        <v>0</v>
      </c>
      <c r="E74" s="473">
        <f t="shared" ca="1" si="3"/>
        <v>0</v>
      </c>
    </row>
    <row r="75" spans="2:5" ht="15.75" hidden="1" customHeight="1">
      <c r="B75" s="68" t="str">
        <f>Financeiros!C53</f>
        <v>CVA - Energia - Perda Não Técnica</v>
      </c>
      <c r="C75" s="460">
        <f ca="1">Financeiros!D53</f>
        <v>0</v>
      </c>
      <c r="D75" s="479">
        <f ca="1">C75/Financeiros!$D$4</f>
        <v>0</v>
      </c>
      <c r="E75" s="473">
        <f t="shared" ca="1" si="3"/>
        <v>0</v>
      </c>
    </row>
    <row r="76" spans="2:5" ht="15.75" hidden="1" customHeight="1">
      <c r="B76" s="68" t="str">
        <f>Financeiros!C54</f>
        <v>CVA - Energia - Perda Técnica</v>
      </c>
      <c r="C76" s="460">
        <f ca="1">Financeiros!D54</f>
        <v>0</v>
      </c>
      <c r="D76" s="479">
        <f ca="1">C76/Financeiros!$D$4</f>
        <v>0</v>
      </c>
      <c r="E76" s="473">
        <f t="shared" ca="1" si="3"/>
        <v>0</v>
      </c>
    </row>
    <row r="77" spans="2:5" ht="15.75" hidden="1" customHeight="1">
      <c r="B77" s="68" t="str">
        <f>Financeiros!C55</f>
        <v>CVA - Energia -  Perda de RB sobre a distribuição</v>
      </c>
      <c r="C77" s="460">
        <f ca="1">Financeiros!D55</f>
        <v>0</v>
      </c>
      <c r="D77" s="479">
        <f ca="1">C77/Financeiros!$D$4</f>
        <v>0</v>
      </c>
      <c r="E77" s="473">
        <f t="shared" ca="1" si="3"/>
        <v>0</v>
      </c>
    </row>
    <row r="78" spans="2:5" ht="15.75" hidden="1" customHeight="1">
      <c r="B78" s="68" t="str">
        <f>Financeiros!C56</f>
        <v>CVA - Energia -  Perda de RB sobre o mercado cativo</v>
      </c>
      <c r="C78" s="460">
        <f ca="1">Financeiros!D56</f>
        <v>0</v>
      </c>
      <c r="D78" s="479">
        <f ca="1">C78/Financeiros!$D$4</f>
        <v>0</v>
      </c>
      <c r="E78" s="473">
        <f t="shared" ca="1" si="3"/>
        <v>0</v>
      </c>
    </row>
    <row r="79" spans="2:5" ht="15.75" hidden="1" customHeight="1">
      <c r="B79" s="68" t="str">
        <f>Financeiros!C57</f>
        <v>CVA - Encargos - PROINFA</v>
      </c>
      <c r="C79" s="460">
        <f ca="1">Financeiros!D57</f>
        <v>0</v>
      </c>
      <c r="D79" s="479">
        <f ca="1">C79/Financeiros!$D$4</f>
        <v>0</v>
      </c>
      <c r="E79" s="473">
        <f t="shared" ca="1" si="3"/>
        <v>0</v>
      </c>
    </row>
    <row r="80" spans="2:5" ht="15.75" hidden="1" customHeight="1">
      <c r="B80" s="68" t="str">
        <f>Financeiros!C58</f>
        <v>CVA - Encargos - CFURH</v>
      </c>
      <c r="C80" s="460">
        <f>Financeiros!D58</f>
        <v>0</v>
      </c>
      <c r="D80" s="479">
        <f ca="1">C80/Financeiros!$D$4</f>
        <v>0</v>
      </c>
      <c r="E80" s="473">
        <f t="shared" ca="1" si="3"/>
        <v>0</v>
      </c>
    </row>
    <row r="81" spans="2:5" ht="15.75" hidden="1" customHeight="1">
      <c r="B81" s="68" t="str">
        <f>Financeiros!C59</f>
        <v>CVA - Encargos - ESS/EER</v>
      </c>
      <c r="C81" s="460">
        <f>Financeiros!D59</f>
        <v>0</v>
      </c>
      <c r="D81" s="479">
        <f ca="1">C81/Financeiros!$D$4</f>
        <v>0</v>
      </c>
      <c r="E81" s="473">
        <f t="shared" ca="1" si="3"/>
        <v>0</v>
      </c>
    </row>
    <row r="82" spans="2:5" ht="15.75" hidden="1" customHeight="1">
      <c r="B82" s="68" t="str">
        <f>Financeiros!C60</f>
        <v>Saldo a Compensar CVAccc</v>
      </c>
      <c r="C82" s="460">
        <f>Financeiros!D60</f>
        <v>0</v>
      </c>
      <c r="D82" s="479">
        <f ca="1">C82/Financeiros!$D$4</f>
        <v>0</v>
      </c>
      <c r="E82" s="473">
        <f t="shared" ca="1" si="3"/>
        <v>0</v>
      </c>
    </row>
    <row r="83" spans="2:5" ht="15.75" hidden="1" customHeight="1">
      <c r="B83" s="68" t="str">
        <f>Financeiros!C61</f>
        <v>Saldo a Compensar CVAcde</v>
      </c>
      <c r="C83" s="460">
        <f ca="1">Financeiros!D61</f>
        <v>0</v>
      </c>
      <c r="D83" s="479">
        <f ca="1">C83/Financeiros!$D$4</f>
        <v>0</v>
      </c>
      <c r="E83" s="473">
        <f t="shared" ca="1" si="3"/>
        <v>0</v>
      </c>
    </row>
    <row r="84" spans="2:5" ht="15.75" hidden="1" customHeight="1">
      <c r="B84" s="68" t="str">
        <f>Financeiros!C62</f>
        <v>Saldo a Compensar CVA cde energia</v>
      </c>
      <c r="C84" s="460">
        <f ca="1">Financeiros!D62</f>
        <v>0</v>
      </c>
      <c r="D84" s="479">
        <f ca="1">C84/Financeiros!$D$4</f>
        <v>0</v>
      </c>
      <c r="E84" s="473">
        <f t="shared" ca="1" si="3"/>
        <v>0</v>
      </c>
    </row>
    <row r="85" spans="2:5" ht="15.75" hidden="1" customHeight="1">
      <c r="B85" s="68" t="str">
        <f>Financeiros!C63</f>
        <v>Saldo a Compensar CVA RB - Nodal</v>
      </c>
      <c r="C85" s="460">
        <f ca="1">Financeiros!D63</f>
        <v>0</v>
      </c>
      <c r="D85" s="479">
        <f ca="1">C85/Financeiros!$D$4</f>
        <v>0</v>
      </c>
      <c r="E85" s="473">
        <f t="shared" ca="1" si="3"/>
        <v>0</v>
      </c>
    </row>
    <row r="86" spans="2:5" ht="15.75" hidden="1" customHeight="1">
      <c r="B86" s="68" t="str">
        <f>Financeiros!C64</f>
        <v>Saldo a Compensar CVA RB - Fronteira</v>
      </c>
      <c r="C86" s="460">
        <f ca="1">Financeiros!D64</f>
        <v>0</v>
      </c>
      <c r="D86" s="479">
        <f ca="1">C86/Financeiros!$D$4</f>
        <v>0</v>
      </c>
      <c r="E86" s="473">
        <f t="shared" ca="1" si="3"/>
        <v>0</v>
      </c>
    </row>
    <row r="87" spans="2:5" ht="15.75" hidden="1" customHeight="1">
      <c r="B87" s="68" t="str">
        <f>Financeiros!C65</f>
        <v>Saldo a Compensar CVA RB - TUSDg EXP</v>
      </c>
      <c r="C87" s="460">
        <f ca="1">Financeiros!D65</f>
        <v>0</v>
      </c>
      <c r="D87" s="479">
        <f ca="1">C87/Financeiros!$D$4</f>
        <v>0</v>
      </c>
      <c r="E87" s="473">
        <f t="shared" ca="1" si="3"/>
        <v>0</v>
      </c>
    </row>
    <row r="88" spans="2:5" ht="15.75" hidden="1" customHeight="1">
      <c r="B88" s="68" t="str">
        <f>Financeiros!C66</f>
        <v>Saldo a Compensar CVA RB - TUSDg ONS</v>
      </c>
      <c r="C88" s="460">
        <f ca="1">Financeiros!D66</f>
        <v>0</v>
      </c>
      <c r="D88" s="479">
        <f ca="1">C88/Financeiros!$D$4</f>
        <v>0</v>
      </c>
      <c r="E88" s="473">
        <f t="shared" ca="1" si="3"/>
        <v>0</v>
      </c>
    </row>
    <row r="89" spans="2:5" ht="15.75" hidden="1" customHeight="1">
      <c r="B89" s="68" t="str">
        <f>Financeiros!C67</f>
        <v>Saldo a Compensar CVA RB - EUST Itaipu</v>
      </c>
      <c r="C89" s="460">
        <f ca="1">Financeiros!D67</f>
        <v>0</v>
      </c>
      <c r="D89" s="479">
        <f ca="1">C89/Financeiros!$D$4</f>
        <v>0</v>
      </c>
      <c r="E89" s="473">
        <f t="shared" ca="1" si="3"/>
        <v>0</v>
      </c>
    </row>
    <row r="90" spans="2:5" ht="15.75" hidden="1" customHeight="1">
      <c r="B90" s="68" t="str">
        <f>Financeiros!C68</f>
        <v>Saldo a Compensar CVA - Transporte Itaipu</v>
      </c>
      <c r="C90" s="460">
        <f ca="1">Financeiros!D68</f>
        <v>0</v>
      </c>
      <c r="D90" s="479">
        <f ca="1">C90/Financeiros!$D$4</f>
        <v>0</v>
      </c>
      <c r="E90" s="473">
        <f t="shared" ca="1" si="3"/>
        <v>0</v>
      </c>
    </row>
    <row r="91" spans="2:5" ht="15.75" hidden="1" customHeight="1">
      <c r="B91" s="68" t="str">
        <f>Financeiros!C69</f>
        <v>Saldo a Compensar CVA - Energia - Energia de Revenda</v>
      </c>
      <c r="C91" s="460">
        <f ca="1">Financeiros!D69</f>
        <v>0</v>
      </c>
      <c r="D91" s="479">
        <f ca="1">C91/Financeiros!$D$4</f>
        <v>0</v>
      </c>
      <c r="E91" s="473">
        <f t="shared" ca="1" si="3"/>
        <v>0</v>
      </c>
    </row>
    <row r="92" spans="2:5" ht="15.75" hidden="1" customHeight="1">
      <c r="B92" s="68" t="str">
        <f>Financeiros!C70</f>
        <v>Saldo a Compensar CVA - Energia - Perda Não Técnica</v>
      </c>
      <c r="C92" s="460">
        <f ca="1">Financeiros!D70</f>
        <v>0</v>
      </c>
      <c r="D92" s="479">
        <f ca="1">C92/Financeiros!$D$4</f>
        <v>0</v>
      </c>
      <c r="E92" s="473">
        <f t="shared" ca="1" si="3"/>
        <v>0</v>
      </c>
    </row>
    <row r="93" spans="2:5" ht="15.75" hidden="1" customHeight="1">
      <c r="B93" s="68" t="str">
        <f>Financeiros!C71</f>
        <v>Saldo a Compensar CVA - Energia - Perda Técnica</v>
      </c>
      <c r="C93" s="460">
        <f ca="1">Financeiros!D71</f>
        <v>0</v>
      </c>
      <c r="D93" s="479">
        <f ca="1">C93/Financeiros!$D$4</f>
        <v>0</v>
      </c>
      <c r="E93" s="473">
        <f t="shared" ca="1" si="3"/>
        <v>0</v>
      </c>
    </row>
    <row r="94" spans="2:5" ht="15.75" hidden="1" customHeight="1">
      <c r="B94" s="68" t="str">
        <f>Financeiros!C72</f>
        <v>Saldo a Compensar CVA - Energia -  Perda de RB sobre a distribuição</v>
      </c>
      <c r="C94" s="460">
        <f ca="1">Financeiros!D72</f>
        <v>0</v>
      </c>
      <c r="D94" s="479">
        <f ca="1">C94/Financeiros!$D$4</f>
        <v>0</v>
      </c>
      <c r="E94" s="473">
        <f t="shared" ca="1" si="3"/>
        <v>0</v>
      </c>
    </row>
    <row r="95" spans="2:5" ht="15.75" hidden="1" customHeight="1">
      <c r="B95" s="68" t="str">
        <f>Financeiros!C73</f>
        <v>Saldo a Compensar CVA - Energia -  Perda de RB sobre o mercado cativo</v>
      </c>
      <c r="C95" s="460">
        <f ca="1">Financeiros!D73</f>
        <v>0</v>
      </c>
      <c r="D95" s="479">
        <f ca="1">C95/Financeiros!$D$4</f>
        <v>0</v>
      </c>
      <c r="E95" s="473">
        <f t="shared" ca="1" si="3"/>
        <v>0</v>
      </c>
    </row>
    <row r="96" spans="2:5" ht="15.75" hidden="1" customHeight="1">
      <c r="B96" s="68" t="str">
        <f>Financeiros!C74</f>
        <v>Saldo a Compensar CVA - Encargos - PROINFA</v>
      </c>
      <c r="C96" s="460">
        <f ca="1">Financeiros!D74</f>
        <v>0</v>
      </c>
      <c r="D96" s="479">
        <f ca="1">C96/Financeiros!$D$4</f>
        <v>0</v>
      </c>
      <c r="E96" s="473">
        <f t="shared" ca="1" si="3"/>
        <v>0</v>
      </c>
    </row>
    <row r="97" spans="2:5" ht="15.75" hidden="1" customHeight="1">
      <c r="B97" s="68" t="str">
        <f>Financeiros!C75</f>
        <v>Saldo a Compensar CVA - Encargos - CFURH</v>
      </c>
      <c r="C97" s="460">
        <f ca="1">Financeiros!D75</f>
        <v>0</v>
      </c>
      <c r="D97" s="479">
        <f ca="1">C97/Financeiros!$D$4</f>
        <v>0</v>
      </c>
      <c r="E97" s="473">
        <f t="shared" ca="1" si="3"/>
        <v>0</v>
      </c>
    </row>
    <row r="98" spans="2:5" ht="15.75" hidden="1" customHeight="1">
      <c r="B98" s="68" t="str">
        <f>Financeiros!C76</f>
        <v>Saldo a Compensar CVA - Encargos - ESS/EER</v>
      </c>
      <c r="C98" s="460">
        <f ca="1">Financeiros!D76</f>
        <v>0</v>
      </c>
      <c r="D98" s="479">
        <f ca="1">C98/Financeiros!$D$4</f>
        <v>0</v>
      </c>
      <c r="E98" s="473">
        <f t="shared" ca="1" si="3"/>
        <v>0</v>
      </c>
    </row>
    <row r="99" spans="2:5" ht="15.75" hidden="1" customHeight="1">
      <c r="B99" s="831" t="str">
        <f>Financeiros!C77</f>
        <v>Reversão de Risco Hidrológico</v>
      </c>
      <c r="C99" s="1032">
        <f ca="1">Financeiros!D77</f>
        <v>0</v>
      </c>
      <c r="D99" s="1033">
        <f ca="1">C99/Financeiros!$D$4</f>
        <v>0</v>
      </c>
      <c r="E99" s="473">
        <f t="shared" ca="1" si="3"/>
        <v>0</v>
      </c>
    </row>
    <row r="100" spans="2:5" ht="15.75" customHeight="1">
      <c r="B100" s="735"/>
      <c r="C100" s="1034"/>
      <c r="D100" s="1035"/>
    </row>
    <row r="101" spans="2:5" ht="15.75" customHeight="1">
      <c r="C101" s="460"/>
      <c r="D101" s="479"/>
    </row>
    <row r="102" spans="2:5" ht="15.75" customHeight="1">
      <c r="C102" s="460"/>
      <c r="D102" s="479"/>
    </row>
    <row r="103" spans="2:5" ht="15.75" customHeight="1">
      <c r="C103" s="460"/>
      <c r="D103" s="479"/>
    </row>
    <row r="104" spans="2:5" ht="15.75" customHeight="1">
      <c r="C104" s="460"/>
      <c r="D104" s="479"/>
    </row>
    <row r="105" spans="2:5" ht="15.75" customHeight="1">
      <c r="C105" s="460"/>
      <c r="D105" s="479"/>
    </row>
    <row r="106" spans="2:5" ht="15.75" customHeight="1">
      <c r="C106" s="460"/>
      <c r="D106" s="479"/>
    </row>
    <row r="107" spans="2:5" ht="15.75" customHeight="1">
      <c r="C107" s="460"/>
      <c r="D107" s="479"/>
    </row>
    <row r="108" spans="2:5" ht="15.75" customHeight="1">
      <c r="C108" s="460"/>
      <c r="D108" s="479"/>
    </row>
    <row r="109" spans="2:5" ht="15.75" customHeight="1">
      <c r="C109" s="460"/>
      <c r="D109" s="479"/>
    </row>
    <row r="110" spans="2:5" ht="15.75" customHeight="1">
      <c r="C110" s="460"/>
      <c r="D110" s="479"/>
    </row>
    <row r="111" spans="2:5" ht="15.75" customHeight="1">
      <c r="C111" s="460"/>
      <c r="D111" s="479"/>
    </row>
    <row r="112" spans="2:5" ht="15.75" customHeight="1">
      <c r="C112" s="460"/>
      <c r="D112" s="479"/>
    </row>
    <row r="113" spans="3:4" ht="15.75" customHeight="1">
      <c r="C113" s="460"/>
      <c r="D113" s="47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66"/>
  <sheetViews>
    <sheetView topLeftCell="G1" workbookViewId="0">
      <selection activeCell="AU246" sqref="AU246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806</v>
      </c>
      <c r="E2" s="303" t="s">
        <v>807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808</v>
      </c>
    </row>
    <row r="5" spans="2:49" ht="15" customHeight="1">
      <c r="B5" s="304" t="s">
        <v>809</v>
      </c>
      <c r="AC5" s="23" t="str">
        <f ca="1">IF(AW239&gt;AW236,"um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4" t="s">
        <v>810</v>
      </c>
      <c r="K6" s="358" t="s">
        <v>811</v>
      </c>
      <c r="L6" s="308"/>
      <c r="S6" s="358" t="s">
        <v>811</v>
      </c>
      <c r="T6" s="358"/>
      <c r="U6" s="358"/>
      <c r="V6" s="358"/>
      <c r="AC6" s="23" t="str">
        <f>IF(LnkTXTSuprid2="!vazio!","","s")</f>
        <v/>
      </c>
      <c r="AD6" s="23">
        <f>SMALL(N41:N42,1)</f>
        <v>386.54935926252898</v>
      </c>
      <c r="AE6" s="23">
        <f>SMALL(Q41:Q42,1)</f>
        <v>475.58424977387313</v>
      </c>
    </row>
    <row r="7" spans="2:49" ht="18.75" customHeight="1">
      <c r="B7" s="304" t="s">
        <v>812</v>
      </c>
      <c r="K7" s="1190" t="s">
        <v>813</v>
      </c>
      <c r="L7" s="1190" t="s">
        <v>814</v>
      </c>
      <c r="S7" s="1710" t="s">
        <v>815</v>
      </c>
      <c r="T7" s="1710"/>
      <c r="U7" s="1710"/>
      <c r="V7" s="301" t="s">
        <v>816</v>
      </c>
      <c r="W7" s="301" t="s">
        <v>817</v>
      </c>
      <c r="X7" s="60" t="s">
        <v>818</v>
      </c>
    </row>
    <row r="8" spans="2:49" ht="15" customHeight="1">
      <c r="B8" s="306" t="s">
        <v>819</v>
      </c>
      <c r="K8" s="358" t="s">
        <v>820</v>
      </c>
      <c r="L8" s="20">
        <f ca="1">Resultado!E14</f>
        <v>2.0069905511451051E-2</v>
      </c>
      <c r="S8" s="47" t="s">
        <v>821</v>
      </c>
      <c r="T8" s="369">
        <f ca="1">U8/$U$15</f>
        <v>0.50144650177038841</v>
      </c>
      <c r="U8" s="56">
        <f>AU213</f>
        <v>5374442.8200000003</v>
      </c>
      <c r="V8" s="61" t="s">
        <v>232</v>
      </c>
      <c r="W8" s="62">
        <f ca="1">T12</f>
        <v>1.6220382505345032E-2</v>
      </c>
      <c r="X8" s="62">
        <f ca="1">W8/(1-$W$10)</f>
        <v>1.6537485066482074E-2</v>
      </c>
    </row>
    <row r="9" spans="2:49" ht="15" customHeight="1">
      <c r="B9" s="306" t="s">
        <v>822</v>
      </c>
      <c r="K9" s="365" t="s">
        <v>794</v>
      </c>
      <c r="L9" s="366">
        <f ca="1">Resultado!E24</f>
        <v>2.4717096257880447E-2</v>
      </c>
      <c r="S9" s="47" t="s">
        <v>823</v>
      </c>
      <c r="T9" s="369">
        <f ca="1">U9/$U$15</f>
        <v>0.30025674751235054</v>
      </c>
      <c r="U9" s="56">
        <f ca="1">AU204</f>
        <v>3218115.4223371609</v>
      </c>
      <c r="V9" s="47" t="s">
        <v>824</v>
      </c>
      <c r="W9" s="57">
        <f ca="1">T13</f>
        <v>2.9543928527135457E-3</v>
      </c>
      <c r="X9" s="62">
        <f ca="1">W9/(1-$W$10)</f>
        <v>3.0121501552858938E-3</v>
      </c>
      <c r="AD9" s="426"/>
      <c r="AE9" s="426"/>
    </row>
    <row r="10" spans="2:49" ht="27.75" customHeight="1">
      <c r="B10" s="306" t="s">
        <v>825</v>
      </c>
      <c r="K10" s="358" t="s">
        <v>826</v>
      </c>
      <c r="L10" s="25">
        <f ca="1">Resultado!E33</f>
        <v>3.5947184215462807E-2</v>
      </c>
      <c r="S10" s="47" t="s">
        <v>827</v>
      </c>
      <c r="T10" s="369">
        <f ca="1">U10/$U$15</f>
        <v>0.13506675230270837</v>
      </c>
      <c r="U10" s="56">
        <f>AU206</f>
        <v>1447629.078219</v>
      </c>
      <c r="V10" s="1191" t="s">
        <v>828</v>
      </c>
      <c r="W10" s="1192">
        <f ca="1">SUM(W8:W9)</f>
        <v>1.9174775358058577E-2</v>
      </c>
      <c r="X10" s="1192">
        <f ca="1">SUM(X8:X9)</f>
        <v>1.9549635221767968E-2</v>
      </c>
      <c r="AE10" s="426"/>
    </row>
    <row r="11" spans="2:49" ht="15" customHeight="1">
      <c r="B11" s="304" t="s">
        <v>823</v>
      </c>
      <c r="K11" s="358" t="s">
        <v>829</v>
      </c>
      <c r="L11" s="25">
        <f ca="1">Resultado!E39</f>
        <v>0.13187851870498213</v>
      </c>
      <c r="S11" s="1193" t="s">
        <v>820</v>
      </c>
      <c r="T11" s="1194">
        <f ca="1">U11/$U$15</f>
        <v>4.4055223056493904E-2</v>
      </c>
      <c r="U11" s="1195">
        <f ca="1">AU194</f>
        <v>472178.54029000649</v>
      </c>
      <c r="V11" s="56"/>
      <c r="AE11" s="426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830</v>
      </c>
      <c r="K12" s="23" t="s">
        <v>801</v>
      </c>
      <c r="L12" s="19">
        <f ca="1">LnkTXTIRTFin</f>
        <v>-0.12870000000000001</v>
      </c>
      <c r="S12" s="47" t="s">
        <v>232</v>
      </c>
      <c r="T12" s="57">
        <f ca="1">Calc_Mercado!J8</f>
        <v>1.6220382505345032E-2</v>
      </c>
      <c r="U12" s="56">
        <f ca="1">T12*U15</f>
        <v>173848.0934371395</v>
      </c>
      <c r="V12" s="56"/>
      <c r="AD12" s="426"/>
      <c r="AE12" s="426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801</v>
      </c>
      <c r="K13" s="23" t="s">
        <v>831</v>
      </c>
      <c r="L13" s="19">
        <f ca="1">LnkTXTERFIN</f>
        <v>0.13669999999999999</v>
      </c>
      <c r="S13" s="47" t="s">
        <v>832</v>
      </c>
      <c r="T13" s="58">
        <f ca="1">Calc_Mercado!J9</f>
        <v>2.9543928527135457E-3</v>
      </c>
      <c r="U13" s="56">
        <f ca="1">T13*U15</f>
        <v>31664.824460169923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833</v>
      </c>
      <c r="K14" s="358" t="s">
        <v>834</v>
      </c>
      <c r="L14" s="366">
        <f>LnkTXTEfeito</f>
        <v>0.22057385430503129</v>
      </c>
      <c r="S14" s="47" t="s">
        <v>835</v>
      </c>
      <c r="T14" s="369">
        <f ca="1">SUM(T12:T13)</f>
        <v>1.9174775358058577E-2</v>
      </c>
      <c r="U14" s="56">
        <f ca="1">SUM(U12:U13)</f>
        <v>205512.91789730941</v>
      </c>
      <c r="V14" s="56"/>
      <c r="AD14" s="23" t="s">
        <v>109</v>
      </c>
      <c r="AE14" s="23" t="s">
        <v>120</v>
      </c>
      <c r="AF14" s="23" t="s">
        <v>794</v>
      </c>
      <c r="AG14" s="23" t="s">
        <v>782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836</v>
      </c>
      <c r="S15" s="1191" t="s">
        <v>837</v>
      </c>
      <c r="T15" s="1196">
        <f ca="1">SUM(T8:T11)+T14</f>
        <v>0.99999999999999978</v>
      </c>
      <c r="U15" s="1197">
        <f ca="1">SUM(U8:U11)/(1-T14)</f>
        <v>10717878.778743479</v>
      </c>
      <c r="V15" s="665"/>
      <c r="AC15" s="23" t="s">
        <v>838</v>
      </c>
      <c r="AD15" s="426">
        <f ca="1">Resultado!C39</f>
        <v>4231163.3273380054</v>
      </c>
      <c r="AE15" s="426">
        <f ca="1">Resultado!C33</f>
        <v>2906482.5731358528</v>
      </c>
      <c r="AF15" s="426">
        <f ca="1">Resultado!C24</f>
        <v>1233351.9575227718</v>
      </c>
      <c r="AG15" s="426">
        <f ca="1">Resultado!C14</f>
        <v>298188.78353336581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839</v>
      </c>
      <c r="AC16" s="23" t="s">
        <v>840</v>
      </c>
      <c r="AD16" s="426">
        <f>Resultado!D39</f>
        <v>5374442.8200000003</v>
      </c>
      <c r="AE16" s="426">
        <f ca="1">Resultado!D33</f>
        <v>3218115.4223371609</v>
      </c>
      <c r="AF16" s="426">
        <f>Resultado!D24</f>
        <v>1447629.078219</v>
      </c>
      <c r="AG16" s="426">
        <f ca="1">Resultado!D14</f>
        <v>472178.54029000649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704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841</v>
      </c>
      <c r="S19" s="358" t="s">
        <v>811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701</v>
      </c>
      <c r="S20" s="1714" t="s">
        <v>842</v>
      </c>
      <c r="T20" s="1714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821</v>
      </c>
      <c r="T21" s="55">
        <f ca="1">AX213</f>
        <v>0.51124959796323122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823</v>
      </c>
      <c r="T22" s="55">
        <f ca="1">AX204</f>
        <v>0.30612665739909156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827</v>
      </c>
      <c r="T23" s="55">
        <f ca="1">AX206</f>
        <v>0.13770725804081524</v>
      </c>
      <c r="Z23" s="30" t="s">
        <v>843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844</v>
      </c>
      <c r="S24" s="47" t="s">
        <v>38</v>
      </c>
      <c r="T24" s="55">
        <f ca="1">AX195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AX196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AX201</f>
        <v>1.1715978006314021E-2</v>
      </c>
      <c r="AL26" s="358"/>
    </row>
    <row r="27" spans="2:46" ht="15" customHeight="1">
      <c r="S27" s="47" t="s">
        <v>41</v>
      </c>
      <c r="T27" s="55">
        <f ca="1">AX198</f>
        <v>3.1079755555016565E-2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AX197+AX203+AX199</f>
        <v>2.1207530355314085E-3</v>
      </c>
      <c r="AD28" s="47"/>
      <c r="AE28" s="397"/>
      <c r="AF28" s="56"/>
      <c r="AL28" s="358"/>
    </row>
    <row r="29" spans="2:46" ht="15" customHeight="1">
      <c r="S29" s="47" t="s">
        <v>845</v>
      </c>
      <c r="T29" s="55">
        <f ca="1">AX200</f>
        <v>0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AX202</f>
        <v>0</v>
      </c>
      <c r="AL30" s="358"/>
    </row>
    <row r="31" spans="2:46" ht="15" customHeight="1">
      <c r="S31" s="1198" t="s">
        <v>846</v>
      </c>
      <c r="T31" s="1199">
        <f ca="1">SUM(T21:T30)</f>
        <v>0.99999999999999989</v>
      </c>
    </row>
    <row r="36" spans="1:36" ht="15" customHeight="1">
      <c r="N36" s="664" t="s">
        <v>847</v>
      </c>
      <c r="O36" s="664"/>
      <c r="P36" s="1200">
        <f>VLOOKUP(LnkTXTSigla,Informacoes[],35,FALSE)</f>
        <v>41472</v>
      </c>
      <c r="Q36" s="1201">
        <f>DATE(2013,MONTH(DataRevRea),1)</f>
        <v>41395</v>
      </c>
    </row>
    <row r="37" spans="1:36" ht="15" customHeight="1">
      <c r="L37" s="358" t="s">
        <v>811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202"/>
      <c r="M38" s="1203">
        <f t="shared" ref="M38:V38" si="0">DATE(M37,MONTH(DataRevRea),1)</f>
        <v>41395</v>
      </c>
      <c r="N38" s="1203">
        <f t="shared" si="0"/>
        <v>41760</v>
      </c>
      <c r="O38" s="1203">
        <f t="shared" si="0"/>
        <v>42125</v>
      </c>
      <c r="P38" s="1203">
        <f t="shared" si="0"/>
        <v>42491</v>
      </c>
      <c r="Q38" s="1203">
        <f t="shared" si="0"/>
        <v>42856</v>
      </c>
      <c r="R38" s="1203">
        <f t="shared" si="0"/>
        <v>43221</v>
      </c>
      <c r="S38" s="1203">
        <f t="shared" si="0"/>
        <v>43586</v>
      </c>
      <c r="T38" s="1203">
        <f t="shared" si="0"/>
        <v>43952</v>
      </c>
      <c r="U38" s="1203">
        <f t="shared" si="0"/>
        <v>44317</v>
      </c>
      <c r="V38" s="1203">
        <f t="shared" si="0"/>
        <v>44682</v>
      </c>
      <c r="W38" s="1203" t="s">
        <v>780</v>
      </c>
    </row>
    <row r="39" spans="1:36" ht="15" customHeight="1">
      <c r="L39" s="65" t="str">
        <f>CAPA!C9</f>
        <v>Cercos</v>
      </c>
      <c r="M39" s="411">
        <f>SUMIF(TAbtarifasb1[[#All],[Sigla]],LnkTXTSigla,TAbtarifasb1[[#All],[2013]])</f>
        <v>363.71</v>
      </c>
      <c r="N39" s="411">
        <f>SUMIF(TAbtarifasb1[[#All],[Sigla]],LnkTXTSigla,TAbtarifasb1[[#All],[2014]])</f>
        <v>396.87</v>
      </c>
      <c r="O39" s="411">
        <f>SUMIF(TAbtarifasb1[[#All],[Sigla]],LnkTXTSigla,TAbtarifasb1[[#All],[2015]])</f>
        <v>454.81272598997919</v>
      </c>
      <c r="P39" s="423">
        <f>SUMIF(TAbtarifasb1[[#All],[Sigla]],LnkTXTSigla,TAbtarifasb1[[#All],[2016]])</f>
        <v>546.46</v>
      </c>
      <c r="Q39" s="423">
        <f>SUMIF(TAbtarifasb1[[#All],[Sigla]],LnkTXTSigla,TAbtarifasb1[[#All],[2017]])</f>
        <v>681.93</v>
      </c>
      <c r="R39" s="790">
        <f>SUMIF(TAbtarifasb1[[#All],[Sigla]],LnkTXTSigla,TAbtarifasb1[[#All],[2018]])</f>
        <v>744.47</v>
      </c>
      <c r="S39" s="790">
        <f>SUMIF(TAbtarifasb1[[#All],[Sigla]],LnkTXTSigla,TAbtarifasb1[[#All],[2019]])</f>
        <v>782.78000000000009</v>
      </c>
      <c r="T39" s="426">
        <f>SUMIF(TAbtarifasb1[[#All],[Sigla]],LnkTXTSigla,TAbtarifasb1[[#All],[2020]])</f>
        <v>753.85</v>
      </c>
      <c r="U39" s="426">
        <f>SUMIF(TAbtarifasb1[[#All],[Sigla]],LnkTXTSigla,TAbtarifasb1[[#All],[2021]])</f>
        <v>761.28</v>
      </c>
      <c r="V39" s="426">
        <f>Resultado!L6</f>
        <v>914.6400000000001</v>
      </c>
      <c r="W39" s="777">
        <f>V39/M39-1</f>
        <v>1.514750762970499</v>
      </c>
    </row>
    <row r="40" spans="1:36" ht="15" customHeight="1">
      <c r="L40" s="65" t="str">
        <f>LnkTXTSuprid1</f>
        <v>Energisa SE</v>
      </c>
      <c r="M40" s="411">
        <f>SUMIF(TAbtarifasb1[[#All],[Sigla]],LnkTXTSuprid1,TAbtarifasb1[[#All],[2013]])</f>
        <v>308.28999999999996</v>
      </c>
      <c r="N40" s="411">
        <f>SUMIF(TAbtarifasb1[[#All],[Sigla]],LnkTXTSuprid1,TAbtarifasb1[[#All],[2014]])</f>
        <v>344.78999999999996</v>
      </c>
      <c r="O40" s="411">
        <f>SUMIF(TAbtarifasb1[[#All],[Sigla]],LnkTXTSuprid1,TAbtarifasb1[[#All],[2015]])</f>
        <v>409.35</v>
      </c>
      <c r="P40" s="411">
        <f>SUMIF(TAbtarifasb1[[#All],[Sigla]],LnkTXTSuprid1,TAbtarifasb1[[#All],[2016]])</f>
        <v>432.33</v>
      </c>
      <c r="Q40" s="411">
        <f>SUMIF(TAbtarifasb1[[#All],[Sigla]],LnkTXTSuprid1,TAbtarifasb1[[#All],[2017]])</f>
        <v>467.59000000000003</v>
      </c>
      <c r="R40" s="411">
        <f>SUMIF(TAbtarifasb1[[#All],[Sigla]],LnkTXTSuprid1,TAbtarifasb1[[#All],[2018]])</f>
        <v>514.29999999999995</v>
      </c>
      <c r="S40" s="411">
        <f>SUMIF(TAbtarifasb1[[#All],[Sigla]],LnkTXTSuprid1,TAbtarifasb1[[#All],[2019]])</f>
        <v>530.72</v>
      </c>
      <c r="T40" s="411">
        <f>SUMIF(TAbtarifasb1[[#All],[Sigla]],LnkTXTSuprid1,TAbtarifasb1[[#All],[2020]])</f>
        <v>535.51</v>
      </c>
      <c r="U40" s="411">
        <f>SUMIF(TAbtarifasb1[[#All],[Sigla]],LnkTXTSuprid1,TAbtarifasb1[[#All],[2021]])</f>
        <v>580.43681504518099</v>
      </c>
      <c r="V40" s="411">
        <f>SUMIF(TAbtarifasb1[[#All],[Sigla]],LnkTXTSuprid1,TAbtarifasb1[[#All],[2022]])</f>
        <v>677.99</v>
      </c>
      <c r="W40" s="777">
        <f>V40/M40-1</f>
        <v>1.1991955626196118</v>
      </c>
    </row>
    <row r="41" spans="1:36" ht="15" customHeight="1">
      <c r="L41" s="65" t="s">
        <v>848</v>
      </c>
      <c r="M41" s="412">
        <f>M39</f>
        <v>363.71</v>
      </c>
      <c r="N41" s="412">
        <f>VLOOKUP(DATE(YEAR(O38),MONTH(O38)-1,1),Índices!$B:$F,2,FALSE)/VLOOKUP(DATE(YEAR(Q36),MONTH(Q36)-1,1),Índices!$B:$F,2,FALSE)*M41</f>
        <v>406.69584698297609</v>
      </c>
      <c r="O41" s="412">
        <f>VLOOKUP(DATE(YEAR(O38),MONTH(O38)-1,1),Índices!$B:$F,2,FALSE)/VLOOKUP(DATE(YEAR(N38),MONTH(N38)-1,1),Índices!$B:$F,2,FALSE)*N41</f>
        <v>421.13507716368252</v>
      </c>
      <c r="P41" s="412">
        <f>VLOOKUP(DATE(YEAR(P38),MONTH(P38)-1,1),Índices!$B:$F,2,FALSE)/VLOOKUP(DATE(YEAR(O38),MONTH(O38)-1,1),Índices!$B:$F,2,FALSE)*O41</f>
        <v>465.91021265545163</v>
      </c>
      <c r="Q41" s="412">
        <f>VLOOKUP(DATE(YEAR(Q38),MONTH(Q38)-1,1),Índices!$B:$F,2,FALSE)/VLOOKUP(DATE(YEAR(P38),MONTH(P38)-1,1),Índices!$B:$F,2,FALSE)*P41</f>
        <v>481.59857694796921</v>
      </c>
      <c r="R41" s="368">
        <f>IF(R37=YEAR(CAPA!$C$114),'Tabelas e Gráficos'!R39,(VLOOKUP(DATE(YEAR(R38),MONTH(R38)-1,1),Índices!$B:$F,2,FALSE)/VLOOKUP(DATE(YEAR(Q38),MONTH(Q38)-1,1),Índices!$B:$F,2,FALSE)*Q41))</f>
        <v>490.68312222339313</v>
      </c>
      <c r="S41" s="368">
        <f>IF(S37=YEAR(CAPA!$C$114),'Tabelas e Gráficos'!S39,(VLOOKUP(DATE(YEAR(S38),MONTH(S38)-1,1),Índices!$B:$F,2,FALSE)/VLOOKUP(DATE(YEAR(R38),MONTH(R38)-1,1),Índices!$B:$F,2,FALSE)*R41))</f>
        <v>533.0900924007866</v>
      </c>
      <c r="T41" s="368">
        <f>IF(T37=YEAR(CAPA!$C$114),'Tabelas e Gráficos'!T39,(VLOOKUP(DATE(YEAR(T38),MONTH(T38)-1,1),Índices!$B:$F,2,FALSE)/VLOOKUP(DATE(YEAR(S38),MONTH(S38)-1,1),Índices!$B:$F,2,FALSE)*S41))</f>
        <v>568.72586397559519</v>
      </c>
      <c r="U41" s="412">
        <f>VLOOKUP(DATE(YEAR(U38),MONTH(U38)-1,1),Índices!$B:$F,2,FALSE)/VLOOKUP(DATE(YEAR(T38),MONTH(T38)-1,1),Índices!$B:$F,2,FALSE)*T41</f>
        <v>750.80415455093248</v>
      </c>
      <c r="V41" s="412">
        <f>VLOOKUP(DATE(YEAR(V38),MONTH(V38)-1,1),Índices!$B:$F,2,FALSE)/VLOOKUP(DATE(YEAR(U38),MONTH(U38)-1,1),Índices!$B:$F,2,FALSE)*U41</f>
        <v>860.87852492572517</v>
      </c>
      <c r="W41" s="777">
        <f>V41/M41-1</f>
        <v>1.3669366388763717</v>
      </c>
    </row>
    <row r="42" spans="1:36" ht="15" customHeight="1">
      <c r="L42" s="1204" t="s">
        <v>849</v>
      </c>
      <c r="M42" s="1206">
        <f>M39</f>
        <v>363.71</v>
      </c>
      <c r="N42" s="1206">
        <f>VLOOKUP(DATE(YEAR(N38),MONTH(N38)-1,1),Índices!$B:$F,3,FALSE)/VLOOKUP(DATE(YEAR(Q36),MONTH(Q36)-1,1),Índices!$B:$F,3,FALSE)*M42</f>
        <v>386.54935926252898</v>
      </c>
      <c r="O42" s="1206">
        <f>VLOOKUP(DATE(YEAR(O38),MONTH(O38)-1,1),Índices!$B:$F,3,FALSE)/VLOOKUP(DATE(YEAR(N38),MONTH(N38)-1,1),Índices!$B:$F,3,FALSE)*N42</f>
        <v>418.13618918274818</v>
      </c>
      <c r="P42" s="1206">
        <f>VLOOKUP(DATE(YEAR(P38),MONTH(P38)-1,1),Índices!$B:$F,3,FALSE)/VLOOKUP(DATE(YEAR(O38),MONTH(O38)-1,1),Índices!$B:$F,3,FALSE)*O42</f>
        <v>456.93000511831701</v>
      </c>
      <c r="Q42" s="1206">
        <f>VLOOKUP(DATE(YEAR(Q38),MONTH(Q38)-1,1),Índices!$B:$F,3,FALSE)/VLOOKUP(DATE(YEAR(P38),MONTH(P38)-1,1),Índices!$B:$F,3,FALSE)*P42</f>
        <v>475.58424977387313</v>
      </c>
      <c r="R42" s="1205">
        <f>IF(R37=YEAR(CAPA!$C$114),'Tabelas e Gráficos'!R39,(VLOOKUP(DATE(YEAR(R38),MONTH(R38)-1,1),Índices!$B:$F,3,FALSE)/VLOOKUP(DATE(YEAR(Q38),MONTH(Q38)-1,1),Índices!$B:$F,3,FALSE)*'Tabelas e Gráficos'!Q42))</f>
        <v>488.7236776056024</v>
      </c>
      <c r="S42" s="1205">
        <f>IF(S37=YEAR(CAPA!$C$114),'Tabelas e Gráficos'!S39,(VLOOKUP(DATE(YEAR(S38),MONTH(S38)-1,1),Índices!$B:$F,3,FALSE)/VLOOKUP(DATE(YEAR(R38),MONTH(R38)-1,1),Índices!$B:$F,3,FALSE)*'Tabelas e Gráficos'!R42))</f>
        <v>512.86909993446363</v>
      </c>
      <c r="T42" s="1205">
        <f>IF(T37=YEAR(CAPA!$C$114),'Tabelas e Gráficos'!T39,(VLOOKUP(DATE(YEAR(T38),MONTH(T38)-1,1),Índices!$B:$F,3,FALSE)/VLOOKUP(DATE(YEAR(S38),MONTH(S38)-1,1),Índices!$B:$F,3,FALSE)*'Tabelas e Gráficos'!S42))</f>
        <v>525.17426274569254</v>
      </c>
      <c r="U42" s="1206">
        <f>VLOOKUP(DATE(YEAR(U38),MONTH(U38)-1,1),Índices!$B:$F,3,FALSE)/VLOOKUP(DATE(YEAR(T38),MONTH(T38)-1,1),Índices!$B:$F,3,FALSE)*T42</f>
        <v>560.67238711267328</v>
      </c>
      <c r="V42" s="1206">
        <f>VLOOKUP(DATE(YEAR(V38),MONTH(V38)-1,1),Índices!$B:$F,3,FALSE)/VLOOKUP(DATE(YEAR(U38),MONTH(U38)-1,1),Índices!$B:$F,3,FALSE)*U42</f>
        <v>628.69108784548621</v>
      </c>
      <c r="W42" s="777">
        <f>V42/M42-1</f>
        <v>0.72855046010691549</v>
      </c>
    </row>
    <row r="43" spans="1:36" ht="15" customHeight="1">
      <c r="X43" s="23">
        <v>938.62</v>
      </c>
    </row>
    <row r="44" spans="1:36" ht="15" customHeight="1">
      <c r="X44" s="911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806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5"/>
      <c r="B49" s="675"/>
      <c r="C49" s="675"/>
      <c r="D49" s="675"/>
      <c r="E49" s="675"/>
      <c r="F49" s="675"/>
      <c r="G49" s="675"/>
      <c r="H49" s="676"/>
      <c r="I49" s="675"/>
      <c r="J49" s="675"/>
      <c r="K49" s="677"/>
      <c r="L49" s="677"/>
      <c r="M49" s="677"/>
      <c r="N49" s="677"/>
      <c r="O49" s="677"/>
      <c r="P49" s="677"/>
      <c r="Q49" s="675"/>
      <c r="R49" s="675"/>
      <c r="S49" s="678"/>
      <c r="T49" s="675"/>
      <c r="U49" s="675"/>
      <c r="V49" s="675"/>
      <c r="W49" s="675"/>
      <c r="X49" s="675"/>
      <c r="Y49" s="675"/>
      <c r="Z49" s="675"/>
      <c r="AA49" s="675"/>
      <c r="AB49" s="675"/>
      <c r="AC49" s="675"/>
      <c r="AD49" s="675"/>
    </row>
    <row r="50" spans="1:47" ht="15" customHeight="1">
      <c r="B50" s="307" t="s">
        <v>808</v>
      </c>
      <c r="C50" s="308" t="s">
        <v>850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851</v>
      </c>
      <c r="C51" s="309" t="s">
        <v>852</v>
      </c>
      <c r="H51" s="23"/>
      <c r="K51" s="49"/>
      <c r="L51" s="1715"/>
      <c r="M51" s="1715"/>
      <c r="N51" s="1715"/>
      <c r="O51" s="49"/>
      <c r="P51" s="49"/>
    </row>
    <row r="52" spans="1:47" ht="15" customHeight="1">
      <c r="B52" s="310" t="s">
        <v>853</v>
      </c>
      <c r="C52" s="311">
        <f ca="1">Resultado!C5</f>
        <v>10512365.860846167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854</v>
      </c>
      <c r="C53" s="311">
        <f ca="1">Resultado!C6</f>
        <v>8669186.6415299959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0.21261270468977633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801</v>
      </c>
      <c r="C55" s="314">
        <f ca="1">Resultado!C8</f>
        <v>-0.12870000000000001</v>
      </c>
      <c r="D55" s="312"/>
      <c r="E55" s="28"/>
      <c r="H55" s="23"/>
      <c r="K55" s="49"/>
      <c r="L55" s="674"/>
      <c r="M55" s="671"/>
      <c r="N55" s="672"/>
      <c r="O55" s="49"/>
      <c r="P55" s="49"/>
    </row>
    <row r="56" spans="1:47" ht="15" customHeight="1">
      <c r="B56" s="1207" t="str">
        <f>Resultado!B9</f>
        <v>Variação econômica e financeira</v>
      </c>
      <c r="C56" s="1208">
        <f ca="1">C54+C55</f>
        <v>8.3912704689776324E-2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1"/>
      <c r="M57" s="531"/>
      <c r="N57" s="531"/>
      <c r="O57" s="531"/>
      <c r="P57" s="531"/>
      <c r="Q57" s="531"/>
      <c r="R57" s="531"/>
      <c r="S57" s="49"/>
    </row>
    <row r="58" spans="1:47" ht="15" customHeight="1">
      <c r="C58" s="315"/>
      <c r="D58" s="312"/>
      <c r="E58" s="307" t="s">
        <v>809</v>
      </c>
      <c r="F58" s="316"/>
      <c r="G58" s="308" t="s">
        <v>850</v>
      </c>
      <c r="H58" s="23"/>
      <c r="L58" s="532"/>
      <c r="M58" s="533"/>
      <c r="N58" s="534"/>
      <c r="O58" s="528"/>
      <c r="P58" s="528"/>
      <c r="Q58" s="529"/>
      <c r="R58" s="530"/>
      <c r="S58" s="49"/>
      <c r="AT58" s="19"/>
      <c r="AU58" s="410"/>
    </row>
    <row r="59" spans="1:47" ht="15" customHeight="1">
      <c r="C59" s="315"/>
      <c r="D59" s="312"/>
      <c r="E59" s="309" t="s">
        <v>855</v>
      </c>
      <c r="F59" s="309" t="s">
        <v>856</v>
      </c>
      <c r="G59" s="309" t="s">
        <v>857</v>
      </c>
      <c r="H59" s="23"/>
      <c r="AT59" s="19"/>
      <c r="AU59" s="410"/>
    </row>
    <row r="60" spans="1:47" ht="15" customHeight="1">
      <c r="B60" s="30"/>
      <c r="C60" s="317"/>
      <c r="D60" s="317"/>
      <c r="E60" s="310" t="s">
        <v>858</v>
      </c>
      <c r="F60" s="311">
        <f ca="1">Calc_Mercado!C8</f>
        <v>11220.683000000005</v>
      </c>
      <c r="G60" s="311">
        <f ca="1">Calc_Mercado!D8</f>
        <v>8669186.6415299959</v>
      </c>
      <c r="H60" s="318" t="s">
        <v>859</v>
      </c>
    </row>
    <row r="61" spans="1:47" ht="15" hidden="1" customHeight="1">
      <c r="E61" s="310" t="s">
        <v>860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861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862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863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864</v>
      </c>
      <c r="F65" s="311">
        <f ca="1">Calc_Mercado!C13</f>
        <v>312.81800000000004</v>
      </c>
      <c r="G65" s="311">
        <f ca="1">Calc_Mercado!D13</f>
        <v>169934.39389999997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865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866</v>
      </c>
      <c r="F67" s="311">
        <f ca="1">Calc_Mercado!C15</f>
        <v>10907.865000000005</v>
      </c>
      <c r="G67" s="311">
        <f ca="1">Calc_Mercado!D15</f>
        <v>8499252.2476299964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867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hidden="1" customHeight="1">
      <c r="C69" s="315"/>
      <c r="D69" s="312"/>
      <c r="E69" s="310" t="s">
        <v>868</v>
      </c>
      <c r="F69" s="311">
        <f ca="1">Calc_Mercado!C18</f>
        <v>0</v>
      </c>
      <c r="G69" s="311">
        <f ca="1">Calc_Mercado!D18</f>
        <v>0</v>
      </c>
      <c r="H69" s="318">
        <f t="shared" ca="1" si="1"/>
        <v>0</v>
      </c>
    </row>
    <row r="70" spans="2:43" ht="15" customHeight="1">
      <c r="C70" s="315"/>
      <c r="D70" s="312"/>
      <c r="E70" s="1207" t="s">
        <v>846</v>
      </c>
      <c r="F70" s="1209">
        <f ca="1">Calc_Mercado!C25</f>
        <v>11220.683000000005</v>
      </c>
      <c r="G70" s="1209">
        <f ca="1">Calc_Mercado!D25</f>
        <v>8669186.6415299959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810</v>
      </c>
      <c r="J72" s="316"/>
      <c r="K72" s="308" t="s">
        <v>850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869</v>
      </c>
      <c r="J73" s="301" t="s">
        <v>870</v>
      </c>
      <c r="K73" s="301" t="s">
        <v>871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12"/>
      <c r="D74" s="1712"/>
      <c r="E74" s="1712"/>
      <c r="I74" s="1210" t="s">
        <v>820</v>
      </c>
      <c r="J74" s="1211">
        <f ca="1">SUM(J75:J83)</f>
        <v>298188.78353336581</v>
      </c>
      <c r="K74" s="1212">
        <f ca="1">SUM(K75:K83)</f>
        <v>3.4396396785931871E-2</v>
      </c>
      <c r="L74" s="318" t="s">
        <v>859</v>
      </c>
      <c r="N74" s="34"/>
      <c r="AG74" s="49"/>
      <c r="AH74" s="1719"/>
      <c r="AI74" s="1719"/>
      <c r="AJ74" s="1719"/>
      <c r="AK74" s="667"/>
      <c r="AL74" s="49"/>
      <c r="AM74" s="49"/>
      <c r="AN74" s="49"/>
      <c r="AO74" s="49"/>
    </row>
    <row r="75" spans="2:43" ht="15" hidden="1" customHeight="1">
      <c r="B75" s="30"/>
      <c r="C75" s="1711"/>
      <c r="D75" s="1711"/>
      <c r="E75" s="1711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20"/>
      <c r="AI75" s="1720"/>
      <c r="AJ75" s="1720"/>
      <c r="AK75" s="668"/>
      <c r="AL75" s="430"/>
      <c r="AM75" s="49"/>
      <c r="AN75" s="49"/>
      <c r="AO75" s="49"/>
    </row>
    <row r="76" spans="2:43" ht="15" hidden="1" customHeight="1">
      <c r="B76" s="30"/>
      <c r="C76" s="1711"/>
      <c r="D76" s="1711"/>
      <c r="E76" s="1711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9"/>
      <c r="AL76" s="49"/>
      <c r="AM76" s="49"/>
      <c r="AN76" s="49"/>
      <c r="AO76" s="49"/>
    </row>
    <row r="77" spans="2:43" ht="15" customHeight="1">
      <c r="B77" s="30"/>
      <c r="C77" s="1711"/>
      <c r="D77" s="1711"/>
      <c r="E77" s="1711"/>
      <c r="I77" s="35" t="str">
        <f>Resultado!B17</f>
        <v>Taxa de Fisc. de Serviços de E.E. – TFSEE</v>
      </c>
      <c r="J77" s="320">
        <f ca="1">Mercado_Faturado_Encargo_TFSEE_BRUTO</f>
        <v>17767.951796684072</v>
      </c>
      <c r="K77" s="36">
        <f t="shared" ca="1" si="2"/>
        <v>2.0495523434189513E-3</v>
      </c>
      <c r="L77" s="318">
        <f ca="1">IF(J77=0,0,1)</f>
        <v>1</v>
      </c>
      <c r="N77" s="36"/>
      <c r="AG77" s="49"/>
      <c r="AH77" s="49"/>
      <c r="AI77" s="49"/>
      <c r="AJ77" s="49"/>
      <c r="AK77" s="669"/>
      <c r="AL77" s="49"/>
      <c r="AM77" s="49"/>
      <c r="AN77" s="49"/>
      <c r="AO77" s="49"/>
    </row>
    <row r="78" spans="2:43" ht="15" customHeight="1">
      <c r="B78" s="30"/>
      <c r="C78" s="1711"/>
      <c r="D78" s="1711"/>
      <c r="E78" s="1711"/>
      <c r="I78" s="35" t="str">
        <f>Resultado!B18</f>
        <v>Conta de Desenvolvimento Energético – CDE</v>
      </c>
      <c r="J78" s="320">
        <f ca="1">Mercado_Faturado_Encargo_CDE_BRUTO</f>
        <v>198831.46699689492</v>
      </c>
      <c r="K78" s="36">
        <f t="shared" ca="1" si="2"/>
        <v>2.2935423496869577E-2</v>
      </c>
      <c r="L78" s="318">
        <f t="shared" ref="L78:L94" ca="1" si="3">IF(J78=0,0,1)</f>
        <v>1</v>
      </c>
      <c r="N78" s="36"/>
      <c r="AG78" s="49"/>
      <c r="AH78" s="1720"/>
      <c r="AI78" s="1720"/>
      <c r="AJ78" s="1720"/>
      <c r="AK78" s="668"/>
      <c r="AL78" s="430"/>
      <c r="AM78" s="49"/>
      <c r="AN78" s="49"/>
      <c r="AO78" s="49"/>
    </row>
    <row r="79" spans="2:43" ht="15" hidden="1" customHeight="1">
      <c r="B79" s="30"/>
      <c r="C79" s="1711"/>
      <c r="D79" s="1711"/>
      <c r="E79" s="1711"/>
      <c r="I79" s="35" t="str">
        <f>Resultado!B19</f>
        <v>Compensação financeira - CFURH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9"/>
      <c r="AL79" s="49"/>
      <c r="AM79" s="49"/>
      <c r="AN79" s="427"/>
      <c r="AO79" s="427"/>
      <c r="AP79" s="427"/>
      <c r="AQ79" s="427"/>
    </row>
    <row r="80" spans="2:43" ht="15" hidden="1" customHeight="1">
      <c r="B80" s="30"/>
      <c r="C80" s="1711"/>
      <c r="D80" s="1711"/>
      <c r="E80" s="1711"/>
      <c r="I80" s="35" t="str">
        <f>Resultado!B20</f>
        <v>Encargos Serv. Sist. - ESS e Energ. Reserv. – EER</v>
      </c>
      <c r="J80" s="320">
        <f ca="1">Mercado_Faturado_Encargo_ESSERR_BRUTO</f>
        <v>0</v>
      </c>
      <c r="K80" s="36">
        <f t="shared" ca="1" si="2"/>
        <v>0</v>
      </c>
      <c r="L80" s="318">
        <v>0</v>
      </c>
      <c r="N80" s="36"/>
      <c r="AG80" s="49"/>
      <c r="AH80" s="49"/>
      <c r="AI80" s="49"/>
      <c r="AJ80" s="49"/>
      <c r="AK80" s="669"/>
      <c r="AL80" s="49"/>
      <c r="AM80" s="49"/>
      <c r="AN80" s="49"/>
      <c r="AO80" s="49"/>
    </row>
    <row r="81" spans="2:41" ht="15" customHeight="1">
      <c r="B81" s="30"/>
      <c r="C81" s="1711"/>
      <c r="D81" s="1711"/>
      <c r="E81" s="1711"/>
      <c r="I81" s="35" t="str">
        <f>Resultado!B21</f>
        <v>PROINFA</v>
      </c>
      <c r="J81" s="320">
        <f ca="1">Mercado_Faturado_Encargo_PROINFA_BRUTO</f>
        <v>81589.364739786834</v>
      </c>
      <c r="K81" s="36">
        <f t="shared" ca="1" si="2"/>
        <v>9.4114209456433381E-3</v>
      </c>
      <c r="L81" s="318">
        <f t="shared" ca="1" si="3"/>
        <v>1</v>
      </c>
      <c r="N81" s="34"/>
      <c r="AG81" s="49"/>
      <c r="AH81" s="49"/>
      <c r="AI81" s="49"/>
      <c r="AJ81" s="49"/>
      <c r="AK81" s="669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20"/>
      <c r="AI82" s="1720"/>
      <c r="AJ82" s="1720"/>
      <c r="AK82" s="668"/>
      <c r="AL82" s="430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9"/>
      <c r="AL83" s="49"/>
      <c r="AM83" s="49"/>
      <c r="AN83" s="49"/>
      <c r="AO83" s="49"/>
    </row>
    <row r="84" spans="2:41" ht="15" customHeight="1">
      <c r="I84" s="1210" t="s">
        <v>872</v>
      </c>
      <c r="J84" s="1211">
        <f ca="1">SUM(Calc_Mercado!C79:C85)</f>
        <v>2906482.5731358528</v>
      </c>
      <c r="K84" s="1212">
        <f ca="1">SUM(K85)</f>
        <v>0.33526588979089017</v>
      </c>
      <c r="L84" s="318">
        <f t="shared" ca="1" si="3"/>
        <v>1</v>
      </c>
      <c r="N84" s="36"/>
      <c r="AG84" s="49"/>
      <c r="AH84" s="49"/>
      <c r="AI84" s="49"/>
      <c r="AJ84" s="49"/>
      <c r="AK84" s="669"/>
      <c r="AL84" s="49"/>
      <c r="AM84" s="49"/>
      <c r="AN84" s="49"/>
      <c r="AO84" s="49"/>
    </row>
    <row r="85" spans="2:41" ht="15" customHeight="1">
      <c r="B85" s="30"/>
      <c r="I85" s="37" t="s">
        <v>873</v>
      </c>
      <c r="J85" s="320">
        <f ca="1">J84</f>
        <v>2906482.5731358528</v>
      </c>
      <c r="K85" s="36">
        <f t="shared" ref="K85:K96" ca="1" si="4">J85/$J$97</f>
        <v>0.33526588979089017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4"/>
      <c r="AL85" s="49"/>
      <c r="AM85" s="49"/>
      <c r="AN85" s="49"/>
      <c r="AO85" s="49"/>
    </row>
    <row r="86" spans="2:41" ht="15" customHeight="1">
      <c r="B86" s="1718"/>
      <c r="C86" s="1718"/>
      <c r="D86" s="1718"/>
      <c r="E86" s="1718"/>
      <c r="F86" s="1718"/>
      <c r="G86" s="39"/>
      <c r="I86" s="1210" t="s">
        <v>874</v>
      </c>
      <c r="J86" s="1211">
        <f ca="1">Resultado!C24</f>
        <v>1233351.9575227718</v>
      </c>
      <c r="K86" s="1212">
        <f t="shared" ca="1" si="4"/>
        <v>0.14226847437040549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4"/>
      <c r="AL86" s="49"/>
      <c r="AM86" s="49"/>
      <c r="AN86" s="49"/>
      <c r="AO86" s="49"/>
    </row>
    <row r="87" spans="2:41" ht="15" hidden="1" customHeight="1">
      <c r="B87" s="1717"/>
      <c r="C87" s="1717"/>
      <c r="D87" s="1717"/>
      <c r="E87" s="1717"/>
      <c r="F87" s="1717"/>
      <c r="G87" s="42"/>
      <c r="I87" s="37" t="s">
        <v>704</v>
      </c>
      <c r="J87" s="320">
        <f ca="1">Resultado!C25</f>
        <v>0</v>
      </c>
      <c r="K87" s="36">
        <f t="shared" ca="1" si="4"/>
        <v>0</v>
      </c>
      <c r="L87" s="318">
        <f t="shared" ca="1" si="3"/>
        <v>0</v>
      </c>
      <c r="M87" s="321"/>
      <c r="N87" s="41"/>
      <c r="AG87" s="49"/>
      <c r="AH87" s="670"/>
      <c r="AI87" s="671"/>
      <c r="AJ87" s="672"/>
      <c r="AK87" s="673"/>
      <c r="AL87" s="430"/>
      <c r="AM87" s="49"/>
      <c r="AN87" s="49"/>
      <c r="AO87" s="49"/>
    </row>
    <row r="88" spans="2:41" ht="15" hidden="1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0</v>
      </c>
      <c r="K88" s="36">
        <f t="shared" ca="1" si="4"/>
        <v>0</v>
      </c>
      <c r="L88" s="318">
        <f t="shared" ca="1" si="3"/>
        <v>0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17"/>
      <c r="C89" s="1717"/>
      <c r="D89" s="1717"/>
      <c r="E89" s="1717"/>
      <c r="F89" s="1717"/>
      <c r="G89" s="42"/>
      <c r="I89" s="37" t="s">
        <v>795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796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797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798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18"/>
      <c r="C94" s="1718"/>
      <c r="D94" s="1718"/>
      <c r="E94" s="1718"/>
      <c r="F94" s="1718"/>
      <c r="G94" s="42"/>
      <c r="I94" s="37" t="s">
        <v>708</v>
      </c>
      <c r="J94" s="320">
        <f ca="1">Resultado!C32</f>
        <v>1233351.9575227718</v>
      </c>
      <c r="K94" s="36">
        <f t="shared" ca="1" si="4"/>
        <v>0.14226847437040549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17"/>
      <c r="C95" s="1717"/>
      <c r="D95" s="1717"/>
      <c r="E95" s="1717"/>
      <c r="F95" s="1717"/>
      <c r="I95" s="1210" t="s">
        <v>875</v>
      </c>
      <c r="J95" s="1211">
        <f ca="1">J86+J84+J74</f>
        <v>4438023.3141919905</v>
      </c>
      <c r="K95" s="1212">
        <f t="shared" ca="1" si="4"/>
        <v>0.51193076094722756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17"/>
      <c r="C96" s="1717"/>
      <c r="D96" s="1717"/>
      <c r="E96" s="1717"/>
      <c r="F96" s="1717"/>
      <c r="I96" s="1210" t="s">
        <v>876</v>
      </c>
      <c r="J96" s="1211">
        <f ca="1">J97-J95</f>
        <v>4231163.3273380054</v>
      </c>
      <c r="K96" s="1212">
        <f t="shared" ca="1" si="4"/>
        <v>0.4880692390527725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18"/>
      <c r="C97" s="1718"/>
      <c r="D97" s="1718"/>
      <c r="E97" s="1718"/>
      <c r="F97" s="1718"/>
      <c r="G97" s="28"/>
      <c r="I97" s="1207" t="s">
        <v>877</v>
      </c>
      <c r="J97" s="1209">
        <f ca="1">Mercado_RA0_Reais</f>
        <v>8669186.6415299959</v>
      </c>
      <c r="K97" s="1213">
        <f ca="1">K95+K96</f>
        <v>1</v>
      </c>
      <c r="L97" s="31"/>
      <c r="AG97" s="49"/>
      <c r="AH97" s="666"/>
      <c r="AI97" s="666"/>
      <c r="AJ97" s="666"/>
      <c r="AK97" s="49"/>
      <c r="AL97" s="49"/>
      <c r="AM97" s="49"/>
      <c r="AN97" s="49"/>
      <c r="AO97" s="49"/>
    </row>
    <row r="98" spans="2:41" ht="15" customHeight="1">
      <c r="B98" s="1717"/>
      <c r="C98" s="1717"/>
      <c r="D98" s="1717"/>
      <c r="E98" s="1717"/>
      <c r="F98" s="1717"/>
      <c r="G98" s="42"/>
      <c r="M98" s="307" t="s">
        <v>812</v>
      </c>
      <c r="N98" s="308" t="s">
        <v>850</v>
      </c>
      <c r="AH98" s="431"/>
      <c r="AI98" s="432"/>
      <c r="AJ98" s="432"/>
      <c r="AL98" s="49"/>
      <c r="AM98" s="49"/>
      <c r="AN98" s="49"/>
    </row>
    <row r="99" spans="2:41" ht="15" customHeight="1">
      <c r="B99" s="1717"/>
      <c r="C99" s="1717"/>
      <c r="D99" s="1717"/>
      <c r="E99" s="1717"/>
      <c r="F99" s="1717"/>
      <c r="G99" s="42"/>
      <c r="M99" s="301" t="s">
        <v>820</v>
      </c>
      <c r="N99" s="301" t="s">
        <v>852</v>
      </c>
      <c r="O99" s="323" t="s">
        <v>859</v>
      </c>
      <c r="AH99" s="431"/>
      <c r="AI99" s="432"/>
      <c r="AJ99" s="432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22294.131810006256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326721.76126000017</v>
      </c>
      <c r="O103" s="324">
        <f t="shared" ca="1" si="5"/>
        <v>1</v>
      </c>
    </row>
    <row r="104" spans="2:41" ht="15" hidden="1" customHeight="1">
      <c r="B104" s="1717"/>
      <c r="C104" s="1717"/>
      <c r="D104" s="1717"/>
      <c r="E104" s="1717"/>
      <c r="F104" s="1717"/>
      <c r="G104" s="45"/>
      <c r="M104" s="35" t="s">
        <v>878</v>
      </c>
      <c r="N104" s="320">
        <f>Encargos!I20</f>
        <v>0</v>
      </c>
      <c r="O104" s="324">
        <f t="shared" si="5"/>
        <v>0</v>
      </c>
    </row>
    <row r="105" spans="2:41" ht="15" hidden="1" customHeight="1">
      <c r="B105" s="1717"/>
      <c r="C105" s="1717"/>
      <c r="D105" s="1717"/>
      <c r="E105" s="1717"/>
      <c r="F105" s="1717"/>
      <c r="G105" s="45"/>
      <c r="M105" s="35" t="str">
        <f>Resultado!B20</f>
        <v>Encargos Serv. Sist. - ESS e Energ. Reserv. – EER</v>
      </c>
      <c r="N105" s="320">
        <f>Resultado!D20</f>
        <v>0</v>
      </c>
      <c r="O105" s="324">
        <f t="shared" si="5"/>
        <v>0</v>
      </c>
    </row>
    <row r="106" spans="2:41" ht="15" customHeight="1">
      <c r="B106" s="1718"/>
      <c r="C106" s="1718"/>
      <c r="D106" s="1718"/>
      <c r="E106" s="1718"/>
      <c r="F106" s="1718"/>
      <c r="G106" s="39"/>
      <c r="M106" s="35" t="str">
        <f>Resultado!B21</f>
        <v>PROINFA</v>
      </c>
      <c r="N106" s="320">
        <f ca="1">Resultado!D21</f>
        <v>123162.64722000006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207" t="s">
        <v>846</v>
      </c>
      <c r="N109" s="1209">
        <f ca="1">SUM(N100:N108)</f>
        <v>472178.54029000649</v>
      </c>
    </row>
    <row r="110" spans="2:41" ht="15" customHeight="1">
      <c r="B110" s="29"/>
      <c r="C110" s="29"/>
      <c r="D110" s="29"/>
      <c r="P110" s="326" t="s">
        <v>819</v>
      </c>
      <c r="Q110" s="308" t="s">
        <v>850</v>
      </c>
    </row>
    <row r="111" spans="2:41" ht="15" customHeight="1">
      <c r="B111" s="46"/>
      <c r="C111" s="312"/>
      <c r="D111" s="312"/>
      <c r="P111" s="301" t="s">
        <v>855</v>
      </c>
      <c r="Q111" s="301" t="s">
        <v>879</v>
      </c>
    </row>
    <row r="112" spans="2:41" ht="15" customHeight="1">
      <c r="B112" s="46"/>
      <c r="C112" s="312"/>
      <c r="D112" s="312"/>
      <c r="P112" s="35" t="s">
        <v>880</v>
      </c>
      <c r="Q112" s="48">
        <f ca="1">Energia!M15</f>
        <v>0</v>
      </c>
    </row>
    <row r="113" spans="2:44" ht="15" customHeight="1">
      <c r="B113" s="46"/>
      <c r="C113" s="312"/>
      <c r="D113" s="312"/>
      <c r="P113" s="35" t="s">
        <v>743</v>
      </c>
      <c r="Q113" s="1214">
        <f ca="1">Energia!M14</f>
        <v>0.12679082025013388</v>
      </c>
    </row>
    <row r="114" spans="2:44" ht="15" customHeight="1">
      <c r="B114" s="46"/>
      <c r="C114" s="312"/>
      <c r="D114" s="312"/>
      <c r="P114" s="1207" t="s">
        <v>846</v>
      </c>
      <c r="Q114" s="1213">
        <f ca="1">SUM(Q112:Q113)</f>
        <v>0.12679082025013388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881</v>
      </c>
      <c r="T117" s="308" t="s">
        <v>850</v>
      </c>
    </row>
    <row r="118" spans="2:44" ht="15" customHeight="1">
      <c r="B118" s="46"/>
      <c r="C118" s="312"/>
      <c r="D118" s="312"/>
      <c r="P118" s="44"/>
      <c r="Q118" s="312"/>
      <c r="S118" s="301" t="s">
        <v>855</v>
      </c>
      <c r="T118" s="301" t="s">
        <v>856</v>
      </c>
    </row>
    <row r="119" spans="2:44" ht="15" customHeight="1">
      <c r="B119" s="46"/>
      <c r="C119" s="312"/>
      <c r="D119" s="312"/>
      <c r="P119" s="44"/>
      <c r="Q119" s="312"/>
      <c r="S119" s="1215" t="s">
        <v>882</v>
      </c>
      <c r="T119" s="1216">
        <f ca="1">SUM(T120:T121)</f>
        <v>11220.683000000005</v>
      </c>
      <c r="U119" s="323" t="s">
        <v>859</v>
      </c>
    </row>
    <row r="120" spans="2:44" ht="15" customHeight="1">
      <c r="B120" s="46"/>
      <c r="C120" s="312"/>
      <c r="D120" s="312"/>
      <c r="P120" s="44"/>
      <c r="Q120" s="312"/>
      <c r="S120" s="47" t="s">
        <v>883</v>
      </c>
      <c r="T120" s="327">
        <f ca="1">Energia!C7</f>
        <v>11220.683000000005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884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215" t="s">
        <v>885</v>
      </c>
      <c r="T122" s="1217">
        <f ca="1">SUM(T123:T124)</f>
        <v>1629.2540599999938</v>
      </c>
      <c r="U122" s="323">
        <v>1</v>
      </c>
    </row>
    <row r="123" spans="2:44" ht="15" hidden="1" customHeight="1">
      <c r="B123" s="46"/>
      <c r="C123" s="312"/>
      <c r="D123" s="312"/>
      <c r="P123" s="44"/>
      <c r="Q123" s="312"/>
      <c r="S123" s="47" t="s">
        <v>886</v>
      </c>
      <c r="T123" s="327">
        <f>SUM(Energia!C11:C12)</f>
        <v>0</v>
      </c>
      <c r="U123" s="323">
        <f>IF(T123=0,0,1)</f>
        <v>0</v>
      </c>
    </row>
    <row r="124" spans="2:44" ht="15" customHeight="1">
      <c r="B124" s="46"/>
      <c r="C124" s="312"/>
      <c r="D124" s="312"/>
      <c r="P124" s="44"/>
      <c r="Q124" s="312"/>
      <c r="S124" s="47" t="s">
        <v>887</v>
      </c>
      <c r="T124" s="327">
        <f ca="1">SUM(Energia!C10:C10)</f>
        <v>1629.2540599999938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207" t="s">
        <v>881</v>
      </c>
      <c r="T125" s="1218">
        <f ca="1">T119+T122</f>
        <v>12849.937059999998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219" t="s">
        <v>888</v>
      </c>
      <c r="W127" s="1219"/>
      <c r="X127" s="308" t="s">
        <v>850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202" t="s">
        <v>27</v>
      </c>
      <c r="W128" s="1220" t="s">
        <v>77</v>
      </c>
      <c r="X128" s="1202" t="s">
        <v>889</v>
      </c>
      <c r="Y128" s="323" t="s">
        <v>859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ENERGISA SERGIPE - DISTRIBUIDORA DE ENERGIA S.A</v>
      </c>
      <c r="W129" s="329" t="str">
        <f>Energia!C28</f>
        <v>A4 (2,3 a 25 kV)</v>
      </c>
      <c r="X129" s="330">
        <f>Energia!H28</f>
        <v>253.57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hidden="1" customHeight="1">
      <c r="B130" s="46"/>
      <c r="C130" s="312"/>
      <c r="D130" s="312"/>
      <c r="P130" s="44"/>
      <c r="Q130" s="312"/>
      <c r="S130" s="37"/>
      <c r="T130" s="328"/>
      <c r="V130" s="329">
        <f>Energia!B29</f>
        <v>0</v>
      </c>
      <c r="W130" s="329">
        <f>Energia!C29</f>
        <v>0</v>
      </c>
      <c r="X130" s="330" t="str">
        <f>Energia!H29</f>
        <v/>
      </c>
      <c r="Y130" s="323">
        <f>IF(W130=0,0,1)</f>
        <v>0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221">
        <f>Energia!B32</f>
        <v>0</v>
      </c>
      <c r="W133" s="1221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222"/>
      <c r="W134" s="1223"/>
      <c r="X134" s="1224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219" t="s">
        <v>890</v>
      </c>
      <c r="AA136" s="1219"/>
      <c r="AB136" s="1219"/>
      <c r="AC136" s="308" t="s">
        <v>850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855</v>
      </c>
      <c r="AA137" s="301" t="s">
        <v>856</v>
      </c>
      <c r="AB137" s="301" t="s">
        <v>889</v>
      </c>
      <c r="AC137" s="301" t="s">
        <v>891</v>
      </c>
      <c r="AD137" s="334" t="s">
        <v>859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ENERGISA SERGIPE - DISTRIBUIDORA DE ENERGIA S.A</v>
      </c>
      <c r="AA138" s="335">
        <f>Energia!E35</f>
        <v>12687.134059999998</v>
      </c>
      <c r="AB138" s="336">
        <f>Energia!G35</f>
        <v>253.57000000000002</v>
      </c>
      <c r="AC138" s="337">
        <f>AA138*AB138</f>
        <v>3217076.5835941997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225">
        <f>Energia!C19</f>
        <v>158.70614807366212</v>
      </c>
      <c r="AB140" s="1226">
        <f>Energia!D19</f>
        <v>0</v>
      </c>
      <c r="AC140" s="1227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215" t="s">
        <v>892</v>
      </c>
      <c r="AA141" s="1228">
        <f ca="1">Energia!M29-Energia!L29</f>
        <v>4.0968519263369672</v>
      </c>
      <c r="AB141" s="1229">
        <f>Energia!M34</f>
        <v>0</v>
      </c>
      <c r="AC141" s="1229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207" t="s">
        <v>846</v>
      </c>
      <c r="AA142" s="1230">
        <f ca="1">SUM(AA138:AA141)</f>
        <v>12849.937059999998</v>
      </c>
      <c r="AB142" s="1231">
        <f ca="1">AC142/AA142</f>
        <v>250.35738062939586</v>
      </c>
      <c r="AC142" s="1231">
        <f ca="1">SUM(AC138:AC141)</f>
        <v>3217076.5835941997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232" t="s">
        <v>830</v>
      </c>
      <c r="AF144" s="1232"/>
      <c r="AG144" s="1232"/>
      <c r="AH144" s="1232"/>
      <c r="AI144" s="1232"/>
      <c r="AJ144" s="1232"/>
      <c r="AK144" s="308" t="s">
        <v>850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202" t="s">
        <v>27</v>
      </c>
      <c r="AF145" s="1202" t="s">
        <v>77</v>
      </c>
      <c r="AG145" s="1202" t="s">
        <v>893</v>
      </c>
      <c r="AH145" s="1202" t="s">
        <v>894</v>
      </c>
      <c r="AI145" s="1202" t="s">
        <v>60</v>
      </c>
      <c r="AJ145" s="1202" t="s">
        <v>895</v>
      </c>
      <c r="AK145" s="1202" t="s">
        <v>891</v>
      </c>
      <c r="AL145" s="323" t="s">
        <v>859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1" t="str">
        <f>CUSD!B6</f>
        <v>ENERGISA SERGIPE - DISTRIBUIDORA DE ENERGIA S.A</v>
      </c>
      <c r="AF146" s="387" t="str">
        <f>CUSD!C6</f>
        <v>A4 (2,3 a 25 kV)</v>
      </c>
      <c r="AG146" s="339" t="str">
        <f>CUSD!F6</f>
        <v>Potência</v>
      </c>
      <c r="AH146" s="339" t="str">
        <f>CUSD!F6</f>
        <v>Potência</v>
      </c>
      <c r="AI146" s="406">
        <f>CUSD!H6</f>
        <v>24276</v>
      </c>
      <c r="AJ146" s="407">
        <f>CUSD!J6</f>
        <v>16.48</v>
      </c>
      <c r="AK146" s="339">
        <f>IFERROR(AI146*AJ146,0)</f>
        <v>400068.48</v>
      </c>
      <c r="AL146" s="408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1" t="str">
        <f>CUSD!B7</f>
        <v>ENERGISA SERGIPE - DISTRIBUIDORA DE ENERGIA S.A</v>
      </c>
      <c r="AF147" s="387" t="str">
        <f>CUSD!C7</f>
        <v>A4 (2,3 a 25 kV)</v>
      </c>
      <c r="AG147" s="339" t="str">
        <f>CUSD!F7</f>
        <v>Potência</v>
      </c>
      <c r="AH147" s="339" t="str">
        <f>CUSD!F7</f>
        <v>Potência</v>
      </c>
      <c r="AI147" s="406">
        <f>CUSD!H7</f>
        <v>24945.760000000002</v>
      </c>
      <c r="AJ147" s="407">
        <f>CUSD!J7</f>
        <v>36.25</v>
      </c>
      <c r="AK147" s="339">
        <f t="shared" ref="AK147:AK153" si="7">IFERROR(AI147*AJ147,0)</f>
        <v>904283.8</v>
      </c>
      <c r="AL147" s="408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1" t="str">
        <f>CUSD!B8</f>
        <v>ENERGISA SERGIPE - DISTRIBUIDORA DE ENERGIA S.A</v>
      </c>
      <c r="AF148" s="387" t="str">
        <f>CUSD!C8</f>
        <v>A4 (2,3 a 25 kV)</v>
      </c>
      <c r="AG148" s="339" t="str">
        <f>CUSD!F8</f>
        <v>Energia</v>
      </c>
      <c r="AH148" s="339" t="str">
        <f>CUSD!F8</f>
        <v>Energia</v>
      </c>
      <c r="AI148" s="406">
        <f>CUSD!H8</f>
        <v>11426.37846</v>
      </c>
      <c r="AJ148" s="407">
        <f>CUSD!J8</f>
        <v>11.15</v>
      </c>
      <c r="AK148" s="339">
        <f t="shared" si="7"/>
        <v>127404.119829</v>
      </c>
      <c r="AL148" s="408">
        <f>IF(AE148=0,0,1)</f>
        <v>1</v>
      </c>
      <c r="AM148" s="407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1" t="str">
        <f>CUSD!B9</f>
        <v>ENERGISA SERGIPE - DISTRIBUIDORA DE ENERGIA S.A</v>
      </c>
      <c r="AF149" s="387" t="str">
        <f>CUSD!C9</f>
        <v>A4 (2,3 a 25 kV)</v>
      </c>
      <c r="AG149" s="339" t="str">
        <f>CUSD!F9</f>
        <v>Energia</v>
      </c>
      <c r="AH149" s="339" t="str">
        <f>CUSD!F9</f>
        <v>Energia</v>
      </c>
      <c r="AI149" s="406">
        <f>CUSD!H9</f>
        <v>1423.5586000000001</v>
      </c>
      <c r="AJ149" s="407">
        <f>CUSD!J9</f>
        <v>11.15</v>
      </c>
      <c r="AK149" s="339">
        <f t="shared" si="7"/>
        <v>15872.678390000001</v>
      </c>
      <c r="AL149" s="408">
        <f t="shared" si="6"/>
        <v>1</v>
      </c>
      <c r="AM149" s="407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>
        <f>CUSD!B10</f>
        <v>0</v>
      </c>
      <c r="AF150" s="387">
        <f>CUSD!C10</f>
        <v>0</v>
      </c>
      <c r="AG150" s="339" t="str">
        <f>CUSD!F10</f>
        <v/>
      </c>
      <c r="AH150" s="339" t="str">
        <f>CUSD!F10</f>
        <v/>
      </c>
      <c r="AI150" s="406" t="str">
        <f>CUSD!H10</f>
        <v/>
      </c>
      <c r="AJ150" s="407" t="str">
        <f>CUSD!J10</f>
        <v/>
      </c>
      <c r="AK150" s="339">
        <f t="shared" si="7"/>
        <v>0</v>
      </c>
      <c r="AL150" s="408">
        <v>0</v>
      </c>
      <c r="AM150" s="407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>
        <f>CUSD!B11</f>
        <v>0</v>
      </c>
      <c r="AF151" s="387">
        <f>CUSD!C11</f>
        <v>0</v>
      </c>
      <c r="AG151" s="339" t="str">
        <f>CUSD!F11</f>
        <v/>
      </c>
      <c r="AH151" s="339" t="str">
        <f>CUSD!F11</f>
        <v/>
      </c>
      <c r="AI151" s="406" t="str">
        <f>CUSD!H11</f>
        <v/>
      </c>
      <c r="AJ151" s="407" t="str">
        <f>CUSD!J11</f>
        <v/>
      </c>
      <c r="AK151" s="339">
        <f t="shared" si="7"/>
        <v>0</v>
      </c>
      <c r="AL151" s="408">
        <v>0</v>
      </c>
      <c r="AM151" s="407"/>
    </row>
    <row r="152" spans="2:39" ht="15" hidden="1" customHeight="1">
      <c r="B152" s="46"/>
      <c r="C152" s="312"/>
      <c r="D152" s="312"/>
      <c r="P152" s="44"/>
      <c r="Q152" s="312"/>
      <c r="AC152" s="49"/>
      <c r="AD152" s="49"/>
      <c r="AE152" s="387">
        <f>CUSD!B12</f>
        <v>0</v>
      </c>
      <c r="AF152" s="387">
        <f>CUSD!C12</f>
        <v>0</v>
      </c>
      <c r="AG152" s="339" t="str">
        <f>CUSD!F12</f>
        <v/>
      </c>
      <c r="AH152" s="339" t="str">
        <f>CUSD!F12</f>
        <v/>
      </c>
      <c r="AI152" s="406" t="str">
        <f>CUSD!H12</f>
        <v/>
      </c>
      <c r="AJ152" s="407" t="str">
        <f>CUSD!J12</f>
        <v/>
      </c>
      <c r="AK152" s="339">
        <f t="shared" si="7"/>
        <v>0</v>
      </c>
      <c r="AL152" s="408">
        <f t="shared" si="6"/>
        <v>0</v>
      </c>
      <c r="AM152" s="407"/>
    </row>
    <row r="153" spans="2:39" ht="15" hidden="1" customHeight="1">
      <c r="B153" s="46"/>
      <c r="C153" s="312"/>
      <c r="D153" s="312"/>
      <c r="P153" s="44"/>
      <c r="Q153" s="312"/>
      <c r="AC153" s="49"/>
      <c r="AD153" s="49"/>
      <c r="AE153" s="387">
        <f>CUSD!B13</f>
        <v>0</v>
      </c>
      <c r="AF153" s="387">
        <f>CUSD!C13</f>
        <v>0</v>
      </c>
      <c r="AG153" s="339" t="str">
        <f>CUSD!F13</f>
        <v/>
      </c>
      <c r="AH153" s="339" t="str">
        <f>CUSD!F13</f>
        <v/>
      </c>
      <c r="AI153" s="406" t="str">
        <f>CUSD!H13</f>
        <v/>
      </c>
      <c r="AJ153" s="407" t="str">
        <f>CUSD!J13</f>
        <v/>
      </c>
      <c r="AK153" s="339">
        <f t="shared" si="7"/>
        <v>0</v>
      </c>
      <c r="AL153" s="408">
        <f t="shared" si="6"/>
        <v>0</v>
      </c>
      <c r="AM153" s="407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6" t="str">
        <f>CUSD!H14</f>
        <v/>
      </c>
      <c r="AJ154" s="407" t="str">
        <f>CUSD!J14</f>
        <v/>
      </c>
      <c r="AK154" s="339">
        <f t="shared" ref="AK154:AK160" si="8">IFERROR(AI154*AJ154,0)</f>
        <v>0</v>
      </c>
      <c r="AL154" s="408">
        <f t="shared" si="6"/>
        <v>0</v>
      </c>
      <c r="AM154" s="407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6" t="str">
        <f>CUSD!H15</f>
        <v/>
      </c>
      <c r="AJ155" s="407" t="str">
        <f>CUSD!J15</f>
        <v/>
      </c>
      <c r="AK155" s="339">
        <f t="shared" si="8"/>
        <v>0</v>
      </c>
      <c r="AL155" s="408">
        <f t="shared" si="6"/>
        <v>0</v>
      </c>
      <c r="AM155" s="407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6" t="str">
        <f>CUSD!H16</f>
        <v/>
      </c>
      <c r="AJ156" s="407" t="str">
        <f>CUSD!J16</f>
        <v/>
      </c>
      <c r="AK156" s="339">
        <f t="shared" si="8"/>
        <v>0</v>
      </c>
      <c r="AL156" s="408">
        <f t="shared" si="6"/>
        <v>0</v>
      </c>
      <c r="AM156" s="407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6" t="str">
        <f>CUSD!H17</f>
        <v/>
      </c>
      <c r="AJ157" s="407" t="str">
        <f>CUSD!J17</f>
        <v/>
      </c>
      <c r="AK157" s="339">
        <f t="shared" si="8"/>
        <v>0</v>
      </c>
      <c r="AL157" s="408">
        <v>0</v>
      </c>
      <c r="AM157" s="407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6" t="str">
        <f>CUSD!H18</f>
        <v/>
      </c>
      <c r="AJ158" s="407" t="str">
        <f>CUSD!J18</f>
        <v/>
      </c>
      <c r="AK158" s="339">
        <f t="shared" si="8"/>
        <v>0</v>
      </c>
      <c r="AL158" s="408">
        <f t="shared" si="6"/>
        <v>0</v>
      </c>
      <c r="AM158" s="407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6" t="str">
        <f>CUSD!H19</f>
        <v/>
      </c>
      <c r="AJ159" s="407" t="str">
        <f>CUSD!J19</f>
        <v/>
      </c>
      <c r="AK159" s="339">
        <f t="shared" si="8"/>
        <v>0</v>
      </c>
      <c r="AL159" s="408">
        <f t="shared" si="6"/>
        <v>0</v>
      </c>
      <c r="AM159" s="407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6" t="str">
        <f>CUSD!H20</f>
        <v/>
      </c>
      <c r="AJ160" s="407" t="str">
        <f>CUSD!J20</f>
        <v/>
      </c>
      <c r="AK160" s="339">
        <f t="shared" si="8"/>
        <v>0</v>
      </c>
      <c r="AL160" s="408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207" t="s">
        <v>896</v>
      </c>
      <c r="AF161" s="1207"/>
      <c r="AG161" s="1207"/>
      <c r="AH161" s="1207"/>
      <c r="AI161" s="1233">
        <f>SUM(AI146:AI160)</f>
        <v>62071.697059999999</v>
      </c>
      <c r="AJ161" s="1209"/>
      <c r="AK161" s="1209">
        <f>SUM(AK146:AK160)</f>
        <v>1447629.078219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232" t="s">
        <v>897</v>
      </c>
      <c r="AN163" s="308" t="s">
        <v>850</v>
      </c>
    </row>
    <row r="164" spans="2:42" ht="15" customHeight="1">
      <c r="B164" s="46"/>
      <c r="C164" s="312"/>
      <c r="D164" s="312"/>
      <c r="P164" s="44"/>
      <c r="Q164" s="312"/>
      <c r="AM164" s="1234" t="s">
        <v>801</v>
      </c>
      <c r="AN164" s="1202" t="s">
        <v>852</v>
      </c>
      <c r="AO164" s="23" t="s">
        <v>859</v>
      </c>
      <c r="AP164" s="681" t="s">
        <v>898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906">
        <f>LnkTXTPISCOFINS</f>
        <v>178109.88409763679</v>
      </c>
      <c r="AO165" s="23">
        <f t="shared" ref="AO165:AO182" si="9">IF(AN165=0,0,1)</f>
        <v>1</v>
      </c>
      <c r="AP165" s="681"/>
    </row>
    <row r="166" spans="2:42" ht="15" customHeight="1">
      <c r="B166" s="46"/>
      <c r="C166" s="312"/>
      <c r="D166" s="312"/>
      <c r="P166" s="44"/>
      <c r="Q166" s="312"/>
      <c r="AM166" s="53" t="s">
        <v>805</v>
      </c>
      <c r="AN166" s="906">
        <f ca="1">SUM(Financeiros!D12:D17)</f>
        <v>-4744.8044114288241</v>
      </c>
      <c r="AO166" s="23">
        <f t="shared" ca="1" si="9"/>
        <v>1</v>
      </c>
      <c r="AP166" s="681"/>
    </row>
    <row r="167" spans="2:42" ht="15" hidden="1" customHeight="1">
      <c r="B167" s="46"/>
      <c r="C167" s="312"/>
      <c r="D167" s="312"/>
      <c r="P167" s="44"/>
      <c r="Q167" s="312"/>
      <c r="AM167" s="23" t="s">
        <v>2234</v>
      </c>
      <c r="AN167" s="426">
        <f ca="1">Financeiros!D18</f>
        <v>0</v>
      </c>
      <c r="AO167" s="23">
        <f t="shared" ca="1" si="9"/>
        <v>0</v>
      </c>
      <c r="AP167" s="681"/>
    </row>
    <row r="168" spans="2:42" ht="15" hidden="1" customHeight="1">
      <c r="B168" s="46"/>
      <c r="C168" s="312"/>
      <c r="D168" s="312"/>
      <c r="P168" s="44"/>
      <c r="Q168" s="312"/>
      <c r="AM168" s="53" t="str">
        <f>Financeiros!C23</f>
        <v>Ajustes Processos anteriores</v>
      </c>
      <c r="AN168" s="906">
        <f>Financeiros!D23</f>
        <v>0</v>
      </c>
      <c r="AO168" s="23">
        <f t="shared" si="9"/>
        <v>0</v>
      </c>
      <c r="AP168" s="681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Financeiros!C24</f>
        <v>Ajuste CUST + PISCONFINS Transmissão</v>
      </c>
      <c r="AN169" s="906">
        <f>Financeiros!D24</f>
        <v>0</v>
      </c>
      <c r="AO169" s="23">
        <f t="shared" si="9"/>
        <v>0</v>
      </c>
      <c r="AP169" s="681"/>
    </row>
    <row r="170" spans="2:42" ht="15" hidden="1" customHeight="1">
      <c r="B170" s="46"/>
      <c r="C170" s="312"/>
      <c r="D170" s="312"/>
      <c r="P170" s="44"/>
      <c r="Q170" s="312"/>
      <c r="AM170" s="53" t="str">
        <f>Financeiros!C25</f>
        <v>Compensação DIC FIC</v>
      </c>
      <c r="AN170" s="906">
        <f>LnkTXTDICFIC</f>
        <v>0</v>
      </c>
      <c r="AO170" s="23">
        <f t="shared" si="9"/>
        <v>0</v>
      </c>
      <c r="AP170" s="681"/>
    </row>
    <row r="171" spans="2:42" ht="15" customHeight="1">
      <c r="B171" s="46"/>
      <c r="C171" s="312"/>
      <c r="D171" s="312"/>
      <c r="P171" s="44"/>
      <c r="Q171" s="312"/>
      <c r="AM171" s="53" t="str">
        <f>Financeiros!C26</f>
        <v>Subvenção CDE</v>
      </c>
      <c r="AN171" s="906">
        <f ca="1">LnkTxTSubvencaoCDE</f>
        <v>-1029915.1601314496</v>
      </c>
      <c r="AO171" s="23">
        <f t="shared" ca="1" si="9"/>
        <v>1</v>
      </c>
      <c r="AP171" s="681"/>
    </row>
    <row r="172" spans="2:42" ht="15" hidden="1" customHeight="1">
      <c r="B172" s="46"/>
      <c r="C172" s="312"/>
      <c r="D172" s="312"/>
      <c r="P172" s="44"/>
      <c r="Q172" s="312"/>
      <c r="AM172" s="53" t="str">
        <f>Financeiros!C27</f>
        <v>Retenção de Adicionais de Bandeiras Tarifárias</v>
      </c>
      <c r="AN172" s="906">
        <f>Financeiros!D27</f>
        <v>0</v>
      </c>
      <c r="AO172" s="23">
        <f t="shared" si="9"/>
        <v>0</v>
      </c>
      <c r="AP172" s="681"/>
    </row>
    <row r="173" spans="2:42" ht="15" hidden="1" customHeight="1">
      <c r="B173" s="46"/>
      <c r="C173" s="312"/>
      <c r="D173" s="312"/>
      <c r="P173" s="44"/>
      <c r="Q173" s="312"/>
      <c r="AM173" s="53" t="s">
        <v>899</v>
      </c>
      <c r="AN173" s="906">
        <f>Financeiros!D33</f>
        <v>0</v>
      </c>
      <c r="AO173" s="23">
        <f t="shared" si="9"/>
        <v>0</v>
      </c>
      <c r="AP173" s="681"/>
    </row>
    <row r="174" spans="2:42" ht="15" hidden="1" customHeight="1">
      <c r="B174" s="46"/>
      <c r="C174" s="312"/>
      <c r="D174" s="312"/>
      <c r="P174" s="44"/>
      <c r="Q174" s="312"/>
      <c r="AM174" s="53" t="str">
        <f>Financeiros!C29</f>
        <v>Repasse de ICMS</v>
      </c>
      <c r="AN174" s="906">
        <f>Financeiros!D29</f>
        <v>0</v>
      </c>
      <c r="AO174" s="681">
        <f>IF(AN174=0,0,1)</f>
        <v>0</v>
      </c>
      <c r="AP174" s="681"/>
    </row>
    <row r="175" spans="2:42" ht="15" hidden="1" customHeight="1">
      <c r="B175" s="46"/>
      <c r="C175" s="312"/>
      <c r="D175" s="312"/>
      <c r="P175" s="44"/>
      <c r="Q175" s="312"/>
      <c r="AM175" s="53" t="s">
        <v>900</v>
      </c>
      <c r="AN175" s="906">
        <f>Financeiros!D36</f>
        <v>0</v>
      </c>
      <c r="AO175" s="23">
        <f t="shared" si="9"/>
        <v>0</v>
      </c>
      <c r="AP175" s="681"/>
    </row>
    <row r="176" spans="2:42" ht="15" hidden="1" customHeight="1">
      <c r="B176" s="46"/>
      <c r="C176" s="312"/>
      <c r="D176" s="312"/>
      <c r="P176" s="44"/>
      <c r="Q176" s="312"/>
      <c r="AM176" s="53" t="str">
        <f>Financeiros!C34</f>
        <v>Previsão de Risco Hidrologico</v>
      </c>
      <c r="AN176" s="907">
        <f>Financeiros!D34</f>
        <v>0</v>
      </c>
      <c r="AO176" s="23">
        <f t="shared" si="9"/>
        <v>0</v>
      </c>
      <c r="AP176" s="681"/>
    </row>
    <row r="177" spans="2:50" ht="15" hidden="1" customHeight="1">
      <c r="B177" s="46"/>
      <c r="C177" s="312"/>
      <c r="D177" s="312"/>
      <c r="P177" s="44"/>
      <c r="Q177" s="312"/>
      <c r="AM177" s="53" t="str">
        <f>Financeiros!C35</f>
        <v>Efeito COVID da Supridora</v>
      </c>
      <c r="AN177" s="906">
        <f>Financeiros!D35</f>
        <v>0</v>
      </c>
      <c r="AO177" s="23">
        <f t="shared" si="9"/>
        <v>0</v>
      </c>
      <c r="AP177" s="681"/>
    </row>
    <row r="178" spans="2:50" ht="15" customHeight="1">
      <c r="B178" s="46"/>
      <c r="C178" s="312"/>
      <c r="D178" s="312"/>
      <c r="P178" s="44"/>
      <c r="Q178" s="312"/>
      <c r="AM178" s="53" t="s">
        <v>2278</v>
      </c>
      <c r="AN178" s="906">
        <f>Financeiros!D37+Financeiros!D38</f>
        <v>-280000</v>
      </c>
      <c r="AO178" s="23">
        <f t="shared" si="9"/>
        <v>1</v>
      </c>
      <c r="AP178" s="681"/>
    </row>
    <row r="179" spans="2:50" ht="15" hidden="1" customHeight="1">
      <c r="B179" s="46"/>
      <c r="C179" s="312"/>
      <c r="D179" s="312"/>
      <c r="P179" s="44"/>
      <c r="Q179" s="312"/>
      <c r="AM179" s="53" t="str">
        <f>Financeiros!C39</f>
        <v>Financeiros associados ao §7º do Art. 88 da Ren 414/2021</v>
      </c>
      <c r="AN179" s="906">
        <f>Financeiros!D39</f>
        <v>0</v>
      </c>
      <c r="AO179" s="23">
        <f t="shared" si="9"/>
        <v>0</v>
      </c>
      <c r="AP179" s="681"/>
    </row>
    <row r="180" spans="2:50" ht="15" hidden="1" customHeight="1">
      <c r="B180" s="46"/>
      <c r="C180" s="312"/>
      <c r="D180" s="312"/>
      <c r="P180" s="44"/>
      <c r="Q180" s="312"/>
      <c r="AM180" s="53">
        <f>Financeiros!C40</f>
        <v>0</v>
      </c>
      <c r="AN180" s="906">
        <f>Financeiros!D40</f>
        <v>0</v>
      </c>
      <c r="AO180" s="23">
        <f t="shared" si="9"/>
        <v>0</v>
      </c>
      <c r="AP180" s="681"/>
    </row>
    <row r="181" spans="2:50" ht="15" customHeight="1">
      <c r="B181" s="46"/>
      <c r="C181" s="312"/>
      <c r="D181" s="312"/>
      <c r="P181" s="44"/>
      <c r="Q181" s="312"/>
      <c r="AM181" s="53" t="str">
        <f>Financeiros!C41</f>
        <v>Reversão Postergação Covid Tusd em 2021</v>
      </c>
      <c r="AN181" s="906">
        <f>Financeiros!D41</f>
        <v>-9235.4301805769537</v>
      </c>
      <c r="AO181" s="23">
        <f t="shared" si="9"/>
        <v>1</v>
      </c>
      <c r="AP181" s="1039"/>
    </row>
    <row r="182" spans="2:50" ht="15" customHeight="1">
      <c r="B182" s="46"/>
      <c r="C182" s="312"/>
      <c r="D182" s="312"/>
      <c r="P182" s="44"/>
      <c r="Q182" s="312"/>
      <c r="AM182" s="53" t="str">
        <f>Financeiros!C42</f>
        <v>Reversão Postergação Covid TE em 2021</v>
      </c>
      <c r="AN182" s="906">
        <f>Financeiros!D42</f>
        <v>30125.72108743199</v>
      </c>
      <c r="AO182" s="23">
        <f t="shared" si="9"/>
        <v>1</v>
      </c>
      <c r="AP182" s="1039"/>
    </row>
    <row r="183" spans="2:50" ht="15" customHeight="1">
      <c r="B183" s="46"/>
      <c r="C183" s="312"/>
      <c r="D183" s="312"/>
      <c r="P183" s="44"/>
      <c r="Q183" s="312"/>
      <c r="AM183" s="1207" t="s">
        <v>804</v>
      </c>
      <c r="AN183" s="1235">
        <f ca="1">SUM(AN165:AN182)</f>
        <v>-1115659.7895383865</v>
      </c>
      <c r="AP183" s="24"/>
    </row>
    <row r="184" spans="2:50" ht="15" customHeight="1">
      <c r="B184" s="46"/>
      <c r="C184" s="312"/>
      <c r="D184" s="312"/>
      <c r="P184" s="44"/>
      <c r="Q184" s="312"/>
    </row>
    <row r="185" spans="2:50" ht="15" customHeight="1">
      <c r="B185" s="46"/>
      <c r="C185" s="312"/>
      <c r="D185" s="312"/>
      <c r="P185" s="44"/>
      <c r="Q185" s="312"/>
    </row>
    <row r="186" spans="2:50" ht="15" customHeight="1">
      <c r="B186" s="46"/>
      <c r="C186" s="312"/>
      <c r="D186" s="312"/>
      <c r="P186" s="44"/>
      <c r="Q186" s="312"/>
      <c r="AM186" s="53"/>
      <c r="AN186" s="344"/>
      <c r="AP186" s="1232" t="s">
        <v>901</v>
      </c>
      <c r="AQ186" s="308" t="s">
        <v>850</v>
      </c>
    </row>
    <row r="187" spans="2:50" ht="15" customHeight="1">
      <c r="B187" s="46"/>
      <c r="C187" s="312"/>
      <c r="D187" s="312"/>
      <c r="P187" s="44"/>
      <c r="Q187" s="312"/>
      <c r="AM187" s="53"/>
      <c r="AN187" s="344"/>
      <c r="AP187" s="1220" t="s">
        <v>902</v>
      </c>
      <c r="AQ187" s="1202" t="s">
        <v>903</v>
      </c>
    </row>
    <row r="188" spans="2:50" ht="15" customHeight="1">
      <c r="B188" s="46"/>
      <c r="C188" s="312"/>
      <c r="D188" s="312"/>
      <c r="P188" s="44"/>
      <c r="Q188" s="312"/>
      <c r="AM188" s="53"/>
      <c r="AN188" s="344"/>
      <c r="AP188" s="305" t="s">
        <v>904</v>
      </c>
      <c r="AQ188" s="230">
        <f>LnkTXTEfeitoAT</f>
        <v>0.14967900082180763</v>
      </c>
    </row>
    <row r="189" spans="2:50" ht="15" customHeight="1">
      <c r="B189" s="46"/>
      <c r="C189" s="312"/>
      <c r="D189" s="312"/>
      <c r="P189" s="44"/>
      <c r="Q189" s="312"/>
      <c r="AM189" s="53"/>
      <c r="AN189" s="344"/>
      <c r="AP189" s="305" t="s">
        <v>905</v>
      </c>
      <c r="AQ189" s="230">
        <f>LnkTXTEfeitoBT</f>
        <v>0.22232672961748845</v>
      </c>
    </row>
    <row r="190" spans="2:50" ht="15" customHeight="1">
      <c r="B190" s="46"/>
      <c r="C190" s="312"/>
      <c r="D190" s="312"/>
      <c r="P190" s="44"/>
      <c r="Q190" s="312"/>
      <c r="AM190" s="53"/>
      <c r="AN190" s="344"/>
      <c r="AP190" s="1207" t="s">
        <v>906</v>
      </c>
      <c r="AQ190" s="1213">
        <f>LnkTXTEfeito</f>
        <v>0.22057385430503129</v>
      </c>
    </row>
    <row r="191" spans="2:50" ht="15" customHeight="1">
      <c r="B191" s="46"/>
      <c r="C191" s="312"/>
      <c r="D191" s="312"/>
      <c r="P191" s="44"/>
      <c r="Q191" s="312"/>
      <c r="AM191" s="53"/>
      <c r="AN191" s="344"/>
      <c r="AW191" s="426"/>
    </row>
    <row r="192" spans="2:50" ht="15" customHeight="1">
      <c r="B192" s="46"/>
      <c r="C192" s="312"/>
      <c r="D192" s="312"/>
      <c r="P192" s="44"/>
      <c r="Q192" s="312"/>
      <c r="AM192" s="53"/>
      <c r="AN192" s="344"/>
      <c r="AS192" s="1232" t="s">
        <v>907</v>
      </c>
      <c r="AT192" s="30"/>
      <c r="AU192" s="30"/>
      <c r="AV192" s="30"/>
      <c r="AW192" s="30"/>
      <c r="AX192" s="308" t="s">
        <v>850</v>
      </c>
    </row>
    <row r="193" spans="2:54" ht="39" customHeight="1" thickBot="1">
      <c r="B193" s="54"/>
      <c r="C193" s="322"/>
      <c r="D193" s="54"/>
      <c r="AS193" s="1041" t="s">
        <v>908</v>
      </c>
      <c r="AT193" s="1041" t="s">
        <v>870</v>
      </c>
      <c r="AU193" s="1041" t="s">
        <v>909</v>
      </c>
      <c r="AV193" s="1041" t="s">
        <v>910</v>
      </c>
      <c r="AW193" s="1041" t="s">
        <v>911</v>
      </c>
      <c r="AX193" s="1041" t="s">
        <v>912</v>
      </c>
      <c r="AY193" s="323" t="s">
        <v>859</v>
      </c>
      <c r="BB193" s="413"/>
    </row>
    <row r="194" spans="2:54" ht="15" customHeight="1" thickTop="1">
      <c r="B194" s="54"/>
      <c r="C194" s="322"/>
      <c r="D194" s="54"/>
      <c r="AS194" s="1236" t="s">
        <v>913</v>
      </c>
      <c r="AT194" s="1237">
        <f ca="1">SUM(AT195:AT203)</f>
        <v>298188.78353336581</v>
      </c>
      <c r="AU194" s="1237">
        <f ca="1">SUM(AU195:AU203)</f>
        <v>472178.54029000649</v>
      </c>
      <c r="AV194" s="1238">
        <f ca="1">IF(AU194=0,0,ROUND(AU194/AT194-1,4))</f>
        <v>0.58350000000000002</v>
      </c>
      <c r="AW194" s="1238">
        <f ca="1">SUM(AW195:AW203)</f>
        <v>2.0069905511451047E-2</v>
      </c>
      <c r="AX194" s="1238">
        <f t="shared" ref="AX194:AX213" ca="1" si="10">AU194/$AU$211</f>
        <v>4.4916486596861996E-2</v>
      </c>
      <c r="AY194" s="323">
        <v>1</v>
      </c>
    </row>
    <row r="195" spans="2:54" ht="15" hidden="1" customHeight="1">
      <c r="AS195" s="1042" t="str">
        <f t="shared" ref="AS195:AT198" si="11">I75</f>
        <v>Reserva Global de Reversão – RGR</v>
      </c>
      <c r="AT195" s="1043">
        <f t="shared" si="11"/>
        <v>0</v>
      </c>
      <c r="AU195" s="1043">
        <f>Resultado!D15</f>
        <v>0</v>
      </c>
      <c r="AV195" s="1044">
        <f t="shared" ref="AV195:AV209" si="12">IF(AU195=0,0,ROUND(AU195/AT195-1,3))</f>
        <v>0</v>
      </c>
      <c r="AW195" s="1044">
        <f t="shared" ref="AW195:AW203" ca="1" si="13">(AU195-AT195)/$AT$211</f>
        <v>0</v>
      </c>
      <c r="AX195" s="1044">
        <f t="shared" ca="1" si="10"/>
        <v>0</v>
      </c>
      <c r="AY195" s="323">
        <f ca="1">IF(AW195=0,0,1)</f>
        <v>0</v>
      </c>
    </row>
    <row r="196" spans="2:54" ht="15" hidden="1" customHeight="1">
      <c r="H196" s="23"/>
      <c r="AS196" s="1042" t="str">
        <f t="shared" si="11"/>
        <v>Conta de Consumo de Combustíveis – CCC</v>
      </c>
      <c r="AT196" s="1043">
        <f t="shared" si="11"/>
        <v>0</v>
      </c>
      <c r="AU196" s="1043">
        <f>Resultado!D16</f>
        <v>0</v>
      </c>
      <c r="AV196" s="1044">
        <f t="shared" si="12"/>
        <v>0</v>
      </c>
      <c r="AW196" s="1044">
        <f t="shared" ca="1" si="13"/>
        <v>0</v>
      </c>
      <c r="AX196" s="1044">
        <f t="shared" ca="1" si="10"/>
        <v>0</v>
      </c>
      <c r="AY196" s="323">
        <f t="shared" ref="AY196:AY238" ca="1" si="14">IF(AW196=0,0,1)</f>
        <v>0</v>
      </c>
    </row>
    <row r="197" spans="2:54" ht="15" customHeight="1">
      <c r="B197" s="29"/>
      <c r="C197" s="39"/>
      <c r="H197" s="23"/>
      <c r="AS197" s="1042" t="str">
        <f t="shared" si="11"/>
        <v>Taxa de Fisc. de Serviços de E.E. – TFSEE</v>
      </c>
      <c r="AT197" s="1043">
        <f t="shared" ca="1" si="11"/>
        <v>17767.951796684072</v>
      </c>
      <c r="AU197" s="1043">
        <f ca="1">Resultado!D17</f>
        <v>22294.131810006256</v>
      </c>
      <c r="AV197" s="1044">
        <f ca="1">IF(AU197=0,0,ROUND(AU197/AT197-1,4))</f>
        <v>0.25469999999999998</v>
      </c>
      <c r="AW197" s="1044">
        <f ca="1">(AU197-AT197)/$AT$211</f>
        <v>5.2209973097584316E-4</v>
      </c>
      <c r="AX197" s="1044">
        <f t="shared" ca="1" si="10"/>
        <v>2.1207530355314085E-3</v>
      </c>
      <c r="AY197" s="323">
        <f t="shared" ca="1" si="14"/>
        <v>1</v>
      </c>
    </row>
    <row r="198" spans="2:54" ht="15" customHeight="1">
      <c r="C198" s="28"/>
      <c r="H198" s="23"/>
      <c r="AS198" s="1042" t="str">
        <f t="shared" si="11"/>
        <v>Conta de Desenvolvimento Energético – CDE</v>
      </c>
      <c r="AT198" s="1043">
        <f t="shared" ca="1" si="11"/>
        <v>198831.46699689492</v>
      </c>
      <c r="AU198" s="1043">
        <f ca="1">Resultado!D18-Encargos!I20</f>
        <v>326721.76126000017</v>
      </c>
      <c r="AV198" s="1044">
        <f ca="1">IF(AU198=0,0,ROUND(AU198/AT198-1,4))</f>
        <v>0.64319999999999999</v>
      </c>
      <c r="AW198" s="1044">
        <f ca="1">(AU198-AT198)/$AT$211</f>
        <v>1.4752282947796165E-2</v>
      </c>
      <c r="AX198" s="1044">
        <f t="shared" ca="1" si="10"/>
        <v>3.1079755555016565E-2</v>
      </c>
      <c r="AY198" s="323">
        <f t="shared" ca="1" si="14"/>
        <v>1</v>
      </c>
    </row>
    <row r="199" spans="2:54" ht="15" hidden="1" customHeight="1">
      <c r="C199" s="28"/>
      <c r="H199" s="23"/>
      <c r="AS199" s="1042" t="s">
        <v>914</v>
      </c>
      <c r="AT199" s="1043">
        <f ca="1">J79</f>
        <v>0</v>
      </c>
      <c r="AU199" s="1043">
        <f>Encargos!I20</f>
        <v>0</v>
      </c>
      <c r="AV199" s="1044">
        <v>1</v>
      </c>
      <c r="AW199" s="1044">
        <f t="shared" ca="1" si="13"/>
        <v>0</v>
      </c>
      <c r="AX199" s="1044">
        <f t="shared" ca="1" si="10"/>
        <v>0</v>
      </c>
      <c r="AY199" s="323">
        <f t="shared" ca="1" si="14"/>
        <v>0</v>
      </c>
    </row>
    <row r="200" spans="2:54" ht="15" hidden="1" customHeight="1">
      <c r="C200" s="28"/>
      <c r="H200" s="23"/>
      <c r="AS200" s="1042" t="str">
        <f>I80</f>
        <v>Encargos Serv. Sist. - ESS e Energ. Reserv. – EER</v>
      </c>
      <c r="AT200" s="1043">
        <f ca="1">J80</f>
        <v>0</v>
      </c>
      <c r="AU200" s="1043">
        <f>Resultado!D20</f>
        <v>0</v>
      </c>
      <c r="AV200" s="1044">
        <v>1</v>
      </c>
      <c r="AW200" s="1044">
        <f t="shared" ca="1" si="13"/>
        <v>0</v>
      </c>
      <c r="AX200" s="1044">
        <f t="shared" ca="1" si="10"/>
        <v>0</v>
      </c>
      <c r="AY200" s="323">
        <f ca="1">IF(AW200=0,0,1)</f>
        <v>0</v>
      </c>
    </row>
    <row r="201" spans="2:54" ht="15" customHeight="1">
      <c r="C201" s="28"/>
      <c r="H201" s="23"/>
      <c r="AS201" s="1042" t="str">
        <f>I81</f>
        <v>PROINFA</v>
      </c>
      <c r="AT201" s="1043">
        <f ca="1">J81</f>
        <v>81589.364739786834</v>
      </c>
      <c r="AU201" s="1043">
        <f ca="1">Resultado!D21</f>
        <v>123162.64722000006</v>
      </c>
      <c r="AV201" s="1044">
        <f ca="1">IF(AU201=0,0,ROUND(AU201/AT201-1,4))</f>
        <v>0.50949999999999995</v>
      </c>
      <c r="AW201" s="1044">
        <f ca="1">(AU201-AT201)/$AT$211</f>
        <v>4.7955228326790403E-3</v>
      </c>
      <c r="AX201" s="1044">
        <f t="shared" ca="1" si="10"/>
        <v>1.1715978006314021E-2</v>
      </c>
      <c r="AY201" s="323">
        <f t="shared" ca="1" si="14"/>
        <v>1</v>
      </c>
    </row>
    <row r="202" spans="2:54" ht="15" hidden="1" customHeight="1">
      <c r="B202" s="29"/>
      <c r="C202" s="39"/>
      <c r="H202" s="23"/>
      <c r="AS202" s="1042" t="str">
        <f>I82</f>
        <v>P&amp;D e Eficiência Energética</v>
      </c>
      <c r="AT202" s="1043">
        <f ca="1">J82</f>
        <v>0</v>
      </c>
      <c r="AU202" s="1043">
        <f>Resultado!D22</f>
        <v>0</v>
      </c>
      <c r="AV202" s="1044">
        <f>IF(AU202=0,0,ROUND(AU202/AT202-1,4))</f>
        <v>0</v>
      </c>
      <c r="AW202" s="1044">
        <f t="shared" ca="1" si="13"/>
        <v>0</v>
      </c>
      <c r="AX202" s="1044">
        <f t="shared" ca="1" si="10"/>
        <v>0</v>
      </c>
      <c r="AY202" s="323">
        <v>0</v>
      </c>
    </row>
    <row r="203" spans="2:54" ht="15" hidden="1" customHeight="1">
      <c r="C203" s="345"/>
      <c r="H203" s="23"/>
      <c r="AS203" s="1042" t="str">
        <f>I83</f>
        <v>ONS</v>
      </c>
      <c r="AT203" s="1043">
        <f ca="1">J83</f>
        <v>0</v>
      </c>
      <c r="AU203" s="1043">
        <f>Resultado!D23</f>
        <v>0</v>
      </c>
      <c r="AV203" s="1044">
        <f t="shared" si="12"/>
        <v>0</v>
      </c>
      <c r="AW203" s="1044">
        <f t="shared" ca="1" si="13"/>
        <v>0</v>
      </c>
      <c r="AX203" s="1044">
        <f t="shared" ca="1" si="10"/>
        <v>0</v>
      </c>
      <c r="AY203" s="323">
        <v>0</v>
      </c>
    </row>
    <row r="204" spans="2:54" ht="15" customHeight="1">
      <c r="C204" s="312"/>
      <c r="H204" s="23"/>
      <c r="AS204" s="1236" t="s">
        <v>915</v>
      </c>
      <c r="AT204" s="1237">
        <f ca="1">AT205</f>
        <v>2906482.5731358528</v>
      </c>
      <c r="AU204" s="1237">
        <f ca="1">AU205</f>
        <v>3218115.4223371609</v>
      </c>
      <c r="AV204" s="1238">
        <f ca="1">IF(AU204=0,0,ROUND(AU204/AT204-1,4))</f>
        <v>0.1072</v>
      </c>
      <c r="AW204" s="1238">
        <f ca="1">AW205</f>
        <v>3.5947184215462807E-2</v>
      </c>
      <c r="AX204" s="1238">
        <f t="shared" ca="1" si="10"/>
        <v>0.30612665739909156</v>
      </c>
      <c r="AY204" s="323">
        <f t="shared" ca="1" si="14"/>
        <v>1</v>
      </c>
    </row>
    <row r="205" spans="2:54" ht="15" customHeight="1">
      <c r="C205" s="312"/>
      <c r="H205" s="23"/>
      <c r="AS205" s="1042" t="s">
        <v>873</v>
      </c>
      <c r="AT205" s="1043">
        <f ca="1">J85</f>
        <v>2906482.5731358528</v>
      </c>
      <c r="AU205" s="1043">
        <f ca="1">Resultado!D33</f>
        <v>3218115.4223371609</v>
      </c>
      <c r="AV205" s="1044">
        <f ca="1">IF(AU205=0,0,ROUND(AU205/AT205-1,4))</f>
        <v>0.1072</v>
      </c>
      <c r="AW205" s="1044">
        <f ca="1">(AU205-AT205)/$AT$211</f>
        <v>3.5947184215462807E-2</v>
      </c>
      <c r="AX205" s="1044">
        <f t="shared" ca="1" si="10"/>
        <v>0.30612665739909156</v>
      </c>
      <c r="AY205" s="323">
        <f t="shared" ca="1" si="14"/>
        <v>1</v>
      </c>
    </row>
    <row r="206" spans="2:54" ht="15" customHeight="1">
      <c r="AS206" s="1236" t="s">
        <v>916</v>
      </c>
      <c r="AT206" s="1237">
        <f ca="1">SUM(AT207:AT210)</f>
        <v>1233351.9575227718</v>
      </c>
      <c r="AU206" s="1237">
        <f>SUM(AU207:AU210)</f>
        <v>1447629.078219</v>
      </c>
      <c r="AV206" s="1238">
        <f ca="1">IF(AU206=0,0,ROUND(AU206/AT206-1,4))</f>
        <v>0.17369999999999999</v>
      </c>
      <c r="AW206" s="1238">
        <f ca="1">SUM(AW207:AW210)</f>
        <v>2.4717096257880447E-2</v>
      </c>
      <c r="AX206" s="1238">
        <f t="shared" ca="1" si="10"/>
        <v>0.13770725804081524</v>
      </c>
      <c r="AY206" s="323">
        <f t="shared" ca="1" si="14"/>
        <v>1</v>
      </c>
    </row>
    <row r="207" spans="2:54" ht="15" hidden="1" customHeight="1">
      <c r="AS207" s="1042" t="str">
        <f>Resultado!B25</f>
        <v>Rede Básica</v>
      </c>
      <c r="AT207" s="1043">
        <f ca="1">J87</f>
        <v>0</v>
      </c>
      <c r="AU207" s="1043">
        <f>Resultado!D25</f>
        <v>0</v>
      </c>
      <c r="AV207" s="1044"/>
      <c r="AW207" s="1044">
        <f ca="1">(AU207-AT207)/$AT$211</f>
        <v>0</v>
      </c>
      <c r="AX207" s="1044">
        <f t="shared" ca="1" si="10"/>
        <v>0</v>
      </c>
      <c r="AY207" s="323">
        <f t="shared" ca="1" si="14"/>
        <v>0</v>
      </c>
    </row>
    <row r="208" spans="2:54" ht="15" hidden="1" customHeight="1">
      <c r="AS208" s="1042" t="str">
        <f>Resultado!B26</f>
        <v>Rede Básica Fronteira</v>
      </c>
      <c r="AT208" s="1043">
        <f ca="1">J88</f>
        <v>0</v>
      </c>
      <c r="AU208" s="1043">
        <f>Resultado!D26</f>
        <v>0</v>
      </c>
      <c r="AV208" s="1044"/>
      <c r="AW208" s="1044">
        <f ca="1">(AU208-AT208)/$AT$211</f>
        <v>0</v>
      </c>
      <c r="AX208" s="1044">
        <f t="shared" ca="1" si="10"/>
        <v>0</v>
      </c>
      <c r="AY208" s="323">
        <f t="shared" ca="1" si="14"/>
        <v>0</v>
      </c>
    </row>
    <row r="209" spans="2:51" ht="15" hidden="1" customHeight="1">
      <c r="H209" s="23"/>
      <c r="AS209" s="1042" t="str">
        <f>Resultado!B31</f>
        <v>Conexão</v>
      </c>
      <c r="AT209" s="1043">
        <f ca="1">J93</f>
        <v>0</v>
      </c>
      <c r="AU209" s="1043">
        <f>Resultado!D31</f>
        <v>0</v>
      </c>
      <c r="AV209" s="1044">
        <f t="shared" si="12"/>
        <v>0</v>
      </c>
      <c r="AW209" s="1044">
        <f ca="1">(AU209-AT209)/$AT$211</f>
        <v>0</v>
      </c>
      <c r="AX209" s="1044">
        <f t="shared" ca="1" si="10"/>
        <v>0</v>
      </c>
      <c r="AY209" s="323">
        <f t="shared" ca="1" si="14"/>
        <v>0</v>
      </c>
    </row>
    <row r="210" spans="2:51" ht="15" customHeight="1">
      <c r="H210" s="23"/>
      <c r="AS210" s="1042" t="str">
        <f>Resultado!B32</f>
        <v>Uso do sistema de distribuição</v>
      </c>
      <c r="AT210" s="1043">
        <f ca="1">J94</f>
        <v>1233351.9575227718</v>
      </c>
      <c r="AU210" s="1043">
        <f>Resultado!D32</f>
        <v>1447629.078219</v>
      </c>
      <c r="AV210" s="1044">
        <f ca="1">IF(AU210=0,0,ROUND(AU210/AT210-1,4))</f>
        <v>0.17369999999999999</v>
      </c>
      <c r="AW210" s="1044">
        <f ca="1">(AU210-AT210)/$AT$211</f>
        <v>2.4717096257880447E-2</v>
      </c>
      <c r="AX210" s="1044">
        <f t="shared" ca="1" si="10"/>
        <v>0.13770725804081524</v>
      </c>
      <c r="AY210" s="323">
        <f t="shared" ca="1" si="14"/>
        <v>1</v>
      </c>
    </row>
    <row r="211" spans="2:51" ht="15" hidden="1" customHeight="1">
      <c r="C211" s="19"/>
      <c r="AS211" s="1236" t="s">
        <v>917</v>
      </c>
      <c r="AT211" s="1237">
        <f ca="1">Mercado_RA0_Reais</f>
        <v>8669186.6415299959</v>
      </c>
      <c r="AU211" s="1237">
        <f ca="1">AU194+AU204+AU206+AU213</f>
        <v>10512365.860846167</v>
      </c>
      <c r="AV211" s="1239"/>
      <c r="AW211" s="1239"/>
      <c r="AX211" s="1238">
        <f t="shared" ca="1" si="10"/>
        <v>1</v>
      </c>
      <c r="AY211" s="323">
        <f t="shared" si="14"/>
        <v>0</v>
      </c>
    </row>
    <row r="212" spans="2:51" ht="15" customHeight="1">
      <c r="C212" s="19"/>
      <c r="AS212" s="1240" t="s">
        <v>918</v>
      </c>
      <c r="AT212" s="1241">
        <f ca="1">AT194+AT204+AT206</f>
        <v>4438023.3141919905</v>
      </c>
      <c r="AU212" s="1241">
        <f ca="1">AU194+AU204+AU206</f>
        <v>5137923.0408461671</v>
      </c>
      <c r="AV212" s="1242">
        <f ca="1">IF(AU212=0,0,ROUND(AU212/AT212-1,4))</f>
        <v>0.15770000000000001</v>
      </c>
      <c r="AW212" s="1242">
        <f ca="1">(AU212-AT212)/AT211</f>
        <v>8.073418598479426E-2</v>
      </c>
      <c r="AX212" s="1242">
        <f t="shared" ca="1" si="10"/>
        <v>0.48875040203676878</v>
      </c>
      <c r="AY212" s="323">
        <f t="shared" ca="1" si="14"/>
        <v>1</v>
      </c>
    </row>
    <row r="213" spans="2:51" ht="15" customHeight="1">
      <c r="B213" s="28"/>
      <c r="C213" s="19"/>
      <c r="AS213" s="1240" t="s">
        <v>919</v>
      </c>
      <c r="AT213" s="1241">
        <f ca="1">AT211-AT212</f>
        <v>4231163.3273380054</v>
      </c>
      <c r="AU213" s="1241">
        <f>Resultado!D39</f>
        <v>5374442.8200000003</v>
      </c>
      <c r="AV213" s="1242">
        <f ca="1">IF(AU213=0,0,ROUND(AU213/AT213-1,4))</f>
        <v>0.2702</v>
      </c>
      <c r="AW213" s="1242">
        <f ca="1">(AU213-AT213)/AT211</f>
        <v>0.13187851870498213</v>
      </c>
      <c r="AX213" s="1242">
        <f t="shared" ca="1" si="10"/>
        <v>0.51124959796323122</v>
      </c>
      <c r="AY213" s="323">
        <f t="shared" ca="1" si="14"/>
        <v>1</v>
      </c>
    </row>
    <row r="214" spans="2:51" ht="15" customHeight="1">
      <c r="AS214" s="1243" t="str">
        <f>Resultado!B7</f>
        <v>Variação econômica</v>
      </c>
      <c r="AT214" s="1243"/>
      <c r="AU214" s="1243"/>
      <c r="AV214" s="1244"/>
      <c r="AW214" s="1245">
        <f ca="1">ROUND((AU213+AU212)/(AT212+AT213)-1,4)</f>
        <v>0.21260000000000001</v>
      </c>
      <c r="AX214" s="1244"/>
      <c r="AY214" s="323">
        <v>1</v>
      </c>
    </row>
    <row r="215" spans="2:51" ht="15" hidden="1" customHeight="1">
      <c r="AS215" s="1045"/>
      <c r="AT215" s="1045"/>
      <c r="AU215" s="1045"/>
      <c r="AV215" s="1046"/>
      <c r="AW215" s="1047"/>
      <c r="AX215" s="1047"/>
      <c r="AY215" s="323">
        <f t="shared" si="14"/>
        <v>0</v>
      </c>
    </row>
    <row r="216" spans="2:51" ht="15" customHeight="1">
      <c r="AS216" s="1236" t="s">
        <v>920</v>
      </c>
      <c r="AT216" s="1246"/>
      <c r="AU216" s="1246"/>
      <c r="AV216" s="1247"/>
      <c r="AW216" s="1238" t="s">
        <v>921</v>
      </c>
      <c r="AX216" s="1238"/>
      <c r="AY216" s="323">
        <v>1</v>
      </c>
    </row>
    <row r="217" spans="2:51" ht="15" customHeight="1">
      <c r="AS217" s="1048" t="str">
        <f>Financeiros!C9</f>
        <v>Repasse de PIS COFINS</v>
      </c>
      <c r="AT217" s="1048"/>
      <c r="AU217" s="1049">
        <f>LnkTXTPISCOFINS</f>
        <v>178109.88409763679</v>
      </c>
      <c r="AV217" s="1050"/>
      <c r="AW217" s="1050">
        <f ca="1">LnkTXTPISCOFINSPer</f>
        <v>2.0545166630096083E-2</v>
      </c>
      <c r="AX217" s="1047"/>
      <c r="AY217" s="323">
        <f ca="1">IF(AW217=0,0,1)</f>
        <v>1</v>
      </c>
    </row>
    <row r="218" spans="2:51" ht="15" customHeight="1">
      <c r="B218" s="346"/>
      <c r="C218" s="347"/>
      <c r="D218" s="347"/>
      <c r="E218" s="347"/>
      <c r="F218" s="347"/>
      <c r="G218" s="347"/>
      <c r="H218" s="347"/>
      <c r="AS218" s="1048" t="str">
        <f t="shared" ref="AS218:AS231" si="15">AM166</f>
        <v>Neutralidade Encargos Setoriais</v>
      </c>
      <c r="AT218" s="1048"/>
      <c r="AU218" s="1049">
        <f ca="1">LnkTXTNeutralidade</f>
        <v>-4744.8044114288241</v>
      </c>
      <c r="AV218" s="1050"/>
      <c r="AW218" s="1044">
        <f ca="1">AU218/Financeiros!$D$4</f>
        <v>-5.4731829035710195E-4</v>
      </c>
      <c r="AX218" s="1047"/>
      <c r="AY218" s="323">
        <f t="shared" ref="AY218:AY226" ca="1" si="16">IF(AW218=0,0,1)</f>
        <v>1</v>
      </c>
    </row>
    <row r="219" spans="2:51" ht="15" hidden="1" customHeight="1">
      <c r="B219" s="348"/>
      <c r="C219" s="349"/>
      <c r="D219" s="349"/>
      <c r="E219" s="349"/>
      <c r="F219" s="350"/>
      <c r="G219" s="350"/>
      <c r="H219" s="350"/>
      <c r="AS219" s="1051" t="str">
        <f t="shared" si="15"/>
        <v>Neutralidade Conta Covid</v>
      </c>
      <c r="AT219" s="1051"/>
      <c r="AU219" s="1052">
        <f t="shared" ref="AU219:AU231" ca="1" si="17">AN167</f>
        <v>0</v>
      </c>
      <c r="AV219" s="1051"/>
      <c r="AW219" s="1044">
        <f ca="1">AU219/Financeiros!$D$4</f>
        <v>0</v>
      </c>
      <c r="AX219" s="1047"/>
      <c r="AY219" s="323">
        <f t="shared" ca="1" si="16"/>
        <v>0</v>
      </c>
    </row>
    <row r="220" spans="2:51" ht="15" hidden="1" customHeight="1">
      <c r="B220" s="348"/>
      <c r="C220" s="349"/>
      <c r="D220" s="349"/>
      <c r="E220" s="349"/>
      <c r="F220" s="350"/>
      <c r="G220" s="350"/>
      <c r="H220" s="350"/>
      <c r="AS220" s="1051" t="str">
        <f t="shared" si="15"/>
        <v>Ajustes Processos anteriores</v>
      </c>
      <c r="AT220" s="1051"/>
      <c r="AU220" s="1052">
        <f t="shared" si="17"/>
        <v>0</v>
      </c>
      <c r="AV220" s="1050"/>
      <c r="AW220" s="1044">
        <f ca="1">AU220/Financeiros!$D$4</f>
        <v>0</v>
      </c>
      <c r="AX220" s="1047"/>
      <c r="AY220" s="323">
        <f t="shared" ca="1" si="16"/>
        <v>0</v>
      </c>
    </row>
    <row r="221" spans="2:51" ht="15" hidden="1" customHeight="1">
      <c r="B221" s="348"/>
      <c r="C221" s="349"/>
      <c r="D221" s="349"/>
      <c r="E221" s="349"/>
      <c r="F221" s="350"/>
      <c r="G221" s="350"/>
      <c r="H221" s="350"/>
      <c r="AS221" s="1051" t="str">
        <f t="shared" si="15"/>
        <v>Ajuste CUST + PISCONFINS Transmissão</v>
      </c>
      <c r="AT221" s="1051"/>
      <c r="AU221" s="1052">
        <f t="shared" si="17"/>
        <v>0</v>
      </c>
      <c r="AV221" s="1050"/>
      <c r="AW221" s="1044">
        <f ca="1">AU221/Financeiros!$D$4</f>
        <v>0</v>
      </c>
      <c r="AX221" s="1047"/>
      <c r="AY221" s="323">
        <f t="shared" ca="1" si="16"/>
        <v>0</v>
      </c>
    </row>
    <row r="222" spans="2:51" ht="15" hidden="1" customHeight="1">
      <c r="B222" s="348"/>
      <c r="C222" s="349"/>
      <c r="D222" s="349"/>
      <c r="E222" s="349"/>
      <c r="F222" s="350"/>
      <c r="G222" s="350"/>
      <c r="H222" s="350"/>
      <c r="AS222" s="1051" t="str">
        <f t="shared" si="15"/>
        <v>Compensação DIC FIC</v>
      </c>
      <c r="AT222" s="1051"/>
      <c r="AU222" s="1052">
        <f t="shared" si="17"/>
        <v>0</v>
      </c>
      <c r="AV222" s="1050"/>
      <c r="AW222" s="1044">
        <f ca="1">AU222/Financeiros!$D$4</f>
        <v>0</v>
      </c>
      <c r="AX222" s="1047"/>
      <c r="AY222" s="323">
        <f t="shared" ca="1" si="16"/>
        <v>0</v>
      </c>
    </row>
    <row r="223" spans="2:51" ht="15" customHeight="1">
      <c r="B223" s="348"/>
      <c r="C223" s="349"/>
      <c r="D223" s="349"/>
      <c r="E223" s="349"/>
      <c r="F223" s="350"/>
      <c r="G223" s="350"/>
      <c r="H223" s="350"/>
      <c r="AS223" s="1051" t="str">
        <f t="shared" si="15"/>
        <v>Subvenção CDE</v>
      </c>
      <c r="AT223" s="1051"/>
      <c r="AU223" s="1052">
        <f t="shared" ca="1" si="17"/>
        <v>-1029915.1601314496</v>
      </c>
      <c r="AV223" s="1050"/>
      <c r="AW223" s="1044">
        <f ca="1">AU223/Financeiros!$D$4</f>
        <v>-0.11880182106099901</v>
      </c>
      <c r="AX223" s="1047"/>
      <c r="AY223" s="323">
        <f t="shared" ca="1" si="16"/>
        <v>1</v>
      </c>
    </row>
    <row r="224" spans="2:51" ht="15" hidden="1" customHeight="1">
      <c r="B224" s="348"/>
      <c r="C224" s="349"/>
      <c r="D224" s="349"/>
      <c r="E224" s="349"/>
      <c r="F224" s="350"/>
      <c r="G224" s="350"/>
      <c r="H224" s="350"/>
      <c r="AS224" s="1051" t="str">
        <f t="shared" si="15"/>
        <v>Retenção de Adicionais de Bandeiras Tarifárias</v>
      </c>
      <c r="AT224" s="1051"/>
      <c r="AU224" s="1052">
        <f t="shared" si="17"/>
        <v>0</v>
      </c>
      <c r="AV224" s="1050"/>
      <c r="AW224" s="1044">
        <f ca="1">AU224/Financeiros!$D$4</f>
        <v>0</v>
      </c>
      <c r="AX224" s="1047"/>
      <c r="AY224" s="323">
        <f t="shared" ca="1" si="16"/>
        <v>0</v>
      </c>
    </row>
    <row r="225" spans="2:61" ht="15" hidden="1" customHeight="1">
      <c r="B225" s="348"/>
      <c r="C225" s="349"/>
      <c r="D225" s="349"/>
      <c r="E225" s="349"/>
      <c r="F225" s="350"/>
      <c r="G225" s="350"/>
      <c r="H225" s="350"/>
      <c r="AS225" s="1051" t="str">
        <f t="shared" si="15"/>
        <v>Conta Covid-19</v>
      </c>
      <c r="AT225" s="1051"/>
      <c r="AU225" s="1052">
        <f t="shared" si="17"/>
        <v>0</v>
      </c>
      <c r="AV225" s="1050"/>
      <c r="AW225" s="1044">
        <f ca="1">AU225/Financeiros!$D$4</f>
        <v>0</v>
      </c>
      <c r="AX225" s="1047"/>
      <c r="AY225" s="323">
        <f t="shared" ca="1" si="16"/>
        <v>0</v>
      </c>
    </row>
    <row r="226" spans="2:61" ht="15" hidden="1" customHeight="1">
      <c r="B226" s="348"/>
      <c r="C226" s="349"/>
      <c r="D226" s="349"/>
      <c r="E226" s="349"/>
      <c r="F226" s="350"/>
      <c r="G226" s="350"/>
      <c r="H226" s="350"/>
      <c r="AS226" s="1051" t="str">
        <f t="shared" si="15"/>
        <v>Repasse de ICMS</v>
      </c>
      <c r="AT226" s="1051"/>
      <c r="AU226" s="1052">
        <f t="shared" si="17"/>
        <v>0</v>
      </c>
      <c r="AV226" s="1050"/>
      <c r="AW226" s="1044">
        <f ca="1">AU226/Financeiros!$D$4</f>
        <v>0</v>
      </c>
      <c r="AX226" s="1047"/>
      <c r="AY226" s="323">
        <f t="shared" ca="1" si="16"/>
        <v>0</v>
      </c>
    </row>
    <row r="227" spans="2:61" ht="15" hidden="1" customHeight="1">
      <c r="B227" s="348"/>
      <c r="C227" s="349"/>
      <c r="D227" s="349"/>
      <c r="E227" s="349"/>
      <c r="F227" s="350"/>
      <c r="G227" s="350"/>
      <c r="H227" s="350"/>
      <c r="AS227" s="1051" t="str">
        <f t="shared" si="15"/>
        <v>Crédito Pis Cofins sobre ICMS</v>
      </c>
      <c r="AT227" s="1051"/>
      <c r="AU227" s="1052">
        <f t="shared" si="17"/>
        <v>0</v>
      </c>
      <c r="AV227" s="1050"/>
      <c r="AW227" s="1044">
        <f ca="1">AU227/Financeiros!$D$4</f>
        <v>0</v>
      </c>
      <c r="AX227" s="1047"/>
      <c r="AY227" s="1031">
        <f ca="1">IF(AW227=0,0,1)</f>
        <v>0</v>
      </c>
    </row>
    <row r="228" spans="2:61" ht="15" hidden="1" customHeight="1">
      <c r="B228" s="348"/>
      <c r="C228" s="349"/>
      <c r="D228" s="349"/>
      <c r="E228" s="349"/>
      <c r="F228" s="350"/>
      <c r="G228" s="350"/>
      <c r="H228" s="350"/>
      <c r="AS228" s="1051" t="str">
        <f t="shared" si="15"/>
        <v>Previsão de Risco Hidrologico</v>
      </c>
      <c r="AT228" s="1051"/>
      <c r="AU228" s="1052">
        <f t="shared" si="17"/>
        <v>0</v>
      </c>
      <c r="AV228" s="1050"/>
      <c r="AW228" s="1044">
        <f ca="1">AU228/Financeiros!$D$4</f>
        <v>0</v>
      </c>
      <c r="AX228" s="1047"/>
      <c r="AY228" s="1031">
        <f t="shared" ref="AY228:AY230" ca="1" si="18">IF(AW228=0,0,1)</f>
        <v>0</v>
      </c>
    </row>
    <row r="229" spans="2:61" ht="15" hidden="1" customHeight="1">
      <c r="B229" s="348"/>
      <c r="C229" s="349"/>
      <c r="D229" s="349"/>
      <c r="E229" s="349"/>
      <c r="F229" s="350"/>
      <c r="G229" s="350"/>
      <c r="H229" s="350"/>
      <c r="AS229" s="1051" t="str">
        <f t="shared" si="15"/>
        <v>Efeito COVID da Supridora</v>
      </c>
      <c r="AT229" s="1051"/>
      <c r="AU229" s="1052">
        <f t="shared" si="17"/>
        <v>0</v>
      </c>
      <c r="AV229" s="1050"/>
      <c r="AW229" s="1044">
        <f ca="1">AU229/Financeiros!$D$4</f>
        <v>0</v>
      </c>
      <c r="AX229" s="1047"/>
      <c r="AY229" s="1031">
        <f t="shared" ca="1" si="18"/>
        <v>0</v>
      </c>
    </row>
    <row r="230" spans="2:61" ht="15" customHeight="1">
      <c r="B230" s="348"/>
      <c r="C230" s="349"/>
      <c r="D230" s="349"/>
      <c r="E230" s="349"/>
      <c r="F230" s="350"/>
      <c r="G230" s="350"/>
      <c r="H230" s="350"/>
      <c r="AS230" s="1051" t="str">
        <f t="shared" si="15"/>
        <v>Diferimento de Energia - Pleito</v>
      </c>
      <c r="AT230" s="1051"/>
      <c r="AU230" s="1052">
        <f t="shared" si="17"/>
        <v>-280000</v>
      </c>
      <c r="AV230" s="1050"/>
      <c r="AW230" s="1044">
        <f ca="1">AU230/Financeiros!$D$4</f>
        <v>-3.2298301049218582E-2</v>
      </c>
      <c r="AX230" s="1047"/>
      <c r="AY230" s="1031">
        <f t="shared" ca="1" si="18"/>
        <v>1</v>
      </c>
    </row>
    <row r="231" spans="2:61" ht="15" hidden="1" customHeight="1">
      <c r="B231" s="348"/>
      <c r="C231" s="349"/>
      <c r="D231" s="349"/>
      <c r="E231" s="349"/>
      <c r="F231" s="350"/>
      <c r="G231" s="350"/>
      <c r="H231" s="350"/>
      <c r="AS231" s="1051" t="str">
        <f t="shared" si="15"/>
        <v>Financeiros associados ao §7º do Art. 88 da Ren 414/2021</v>
      </c>
      <c r="AT231" s="1051"/>
      <c r="AU231" s="1052">
        <f t="shared" si="17"/>
        <v>0</v>
      </c>
      <c r="AV231" s="1050"/>
      <c r="AW231" s="1044">
        <f ca="1">AU231/Financeiros!$D$4</f>
        <v>0</v>
      </c>
      <c r="AX231" s="1047"/>
      <c r="AY231" s="1031">
        <f t="shared" ref="AY231:AY232" ca="1" si="19">IF(AW231=0,0,1)</f>
        <v>0</v>
      </c>
    </row>
    <row r="232" spans="2:61" ht="15" hidden="1" customHeight="1">
      <c r="B232" s="348"/>
      <c r="C232" s="349"/>
      <c r="D232" s="349"/>
      <c r="E232" s="349"/>
      <c r="F232" s="350"/>
      <c r="G232" s="350"/>
      <c r="H232" s="350"/>
      <c r="AS232" s="1051">
        <f t="shared" ref="AS232:AS234" si="20">AM180</f>
        <v>0</v>
      </c>
      <c r="AT232" s="1051"/>
      <c r="AU232" s="1052">
        <f t="shared" ref="AU232:AU234" si="21">AN180</f>
        <v>0</v>
      </c>
      <c r="AV232" s="1050"/>
      <c r="AW232" s="1044">
        <f ca="1">AU232/Financeiros!$D$4</f>
        <v>0</v>
      </c>
      <c r="AX232" s="1047"/>
      <c r="AY232" s="1031">
        <f t="shared" ca="1" si="19"/>
        <v>0</v>
      </c>
    </row>
    <row r="233" spans="2:61" ht="15" customHeight="1">
      <c r="B233" s="348"/>
      <c r="C233" s="349"/>
      <c r="D233" s="349"/>
      <c r="E233" s="349"/>
      <c r="F233" s="350"/>
      <c r="G233" s="350"/>
      <c r="H233" s="350"/>
      <c r="AS233" s="1051" t="str">
        <f t="shared" si="20"/>
        <v>Reversão Postergação Covid Tusd em 2021</v>
      </c>
      <c r="AT233" s="1051"/>
      <c r="AU233" s="1052">
        <f t="shared" si="21"/>
        <v>-9235.4301805769537</v>
      </c>
      <c r="AV233" s="1050"/>
      <c r="AW233" s="1044">
        <f ca="1">AU233/Financeiros!$D$4</f>
        <v>-1.0653168010404056E-3</v>
      </c>
      <c r="AX233" s="1047"/>
      <c r="AY233" s="1040">
        <f t="shared" ref="AY233:AY234" ca="1" si="22">IF(AW233=0,0,1)</f>
        <v>1</v>
      </c>
    </row>
    <row r="234" spans="2:61" ht="15" customHeight="1">
      <c r="B234" s="348"/>
      <c r="C234" s="349"/>
      <c r="D234" s="349"/>
      <c r="E234" s="349"/>
      <c r="F234" s="350"/>
      <c r="G234" s="350"/>
      <c r="H234" s="350"/>
      <c r="AS234" s="1051" t="str">
        <f t="shared" si="20"/>
        <v>Reversão Postergação Covid TE em 2021</v>
      </c>
      <c r="AT234" s="1051"/>
      <c r="AU234" s="1052">
        <f t="shared" si="21"/>
        <v>30125.72108743199</v>
      </c>
      <c r="AV234" s="1050"/>
      <c r="AW234" s="1044">
        <f ca="1">AU234/Financeiros!$D$4</f>
        <v>3.4750343178809682E-3</v>
      </c>
      <c r="AX234" s="1047"/>
      <c r="AY234" s="1040">
        <f t="shared" ca="1" si="22"/>
        <v>1</v>
      </c>
    </row>
    <row r="235" spans="2:61" ht="15" customHeight="1">
      <c r="B235" s="348"/>
      <c r="C235" s="351"/>
      <c r="D235" s="351"/>
      <c r="E235" s="349"/>
      <c r="F235" s="350"/>
      <c r="G235" s="350"/>
      <c r="H235" s="350"/>
      <c r="AS235" s="1243" t="s">
        <v>922</v>
      </c>
      <c r="AT235" s="1243"/>
      <c r="AU235" s="1248">
        <f ca="1">SUM(AU217:AU234)</f>
        <v>-1115659.7895383865</v>
      </c>
      <c r="AV235" s="1249"/>
      <c r="AW235" s="1249">
        <f ca="1">ROUND(SUM(AW217:AW234),4)</f>
        <v>-0.12870000000000001</v>
      </c>
      <c r="AX235" s="1249"/>
      <c r="AY235" s="323">
        <v>1</v>
      </c>
    </row>
    <row r="236" spans="2:61" ht="15" customHeight="1">
      <c r="B236" s="348"/>
      <c r="C236" s="349"/>
      <c r="D236" s="349"/>
      <c r="E236" s="349"/>
      <c r="F236" s="350"/>
      <c r="G236" s="350"/>
      <c r="H236" s="350"/>
      <c r="AS236" s="1250" t="str">
        <f>Resultado!B9</f>
        <v>Variação econômica e financeira</v>
      </c>
      <c r="AT236" s="1250"/>
      <c r="AU236" s="1250"/>
      <c r="AV236" s="1251"/>
      <c r="AW236" s="1251">
        <f ca="1">ROUND(AW214+AW235,4)</f>
        <v>8.3900000000000002E-2</v>
      </c>
      <c r="AX236" s="1251"/>
      <c r="AY236" s="323">
        <v>1</v>
      </c>
    </row>
    <row r="237" spans="2:61" ht="15" customHeight="1">
      <c r="B237" s="348"/>
      <c r="C237" s="352"/>
      <c r="D237" s="348"/>
      <c r="E237" s="349"/>
      <c r="F237" s="350"/>
      <c r="G237" s="350"/>
      <c r="H237" s="353"/>
      <c r="AS237" s="1243" t="s">
        <v>923</v>
      </c>
      <c r="AT237" s="1243"/>
      <c r="AU237" s="1243"/>
      <c r="AV237" s="1243"/>
      <c r="AW237" s="1252">
        <f ca="1">ROUND(AW239-AW236,4)</f>
        <v>0.13669999999999999</v>
      </c>
      <c r="AX237" s="1252"/>
      <c r="AY237" s="323">
        <v>1</v>
      </c>
    </row>
    <row r="238" spans="2:61" ht="26.25" hidden="1" customHeight="1">
      <c r="B238" s="348"/>
      <c r="C238" s="352"/>
      <c r="D238" s="348"/>
      <c r="E238" s="349"/>
      <c r="F238" s="350"/>
      <c r="G238" s="350"/>
      <c r="H238" s="353"/>
      <c r="AS238" s="1253" t="s">
        <v>924</v>
      </c>
      <c r="AT238" s="1253"/>
      <c r="AU238" s="1248"/>
      <c r="AV238" s="1248"/>
      <c r="AW238" s="1254">
        <v>0</v>
      </c>
      <c r="AX238" s="1255"/>
      <c r="AY238" s="323">
        <f t="shared" si="14"/>
        <v>0</v>
      </c>
      <c r="BA238" s="806"/>
    </row>
    <row r="239" spans="2:61" ht="15" customHeight="1">
      <c r="B239" s="348"/>
      <c r="C239" s="352"/>
      <c r="D239" s="352"/>
      <c r="E239" s="349"/>
      <c r="F239" s="350"/>
      <c r="G239" s="350"/>
      <c r="H239" s="354"/>
      <c r="AS239" s="1713" t="s">
        <v>925</v>
      </c>
      <c r="AT239" s="1713"/>
      <c r="AU239" s="1713"/>
      <c r="AV239" s="1713"/>
      <c r="AW239" s="1251">
        <f>Resultado!L5</f>
        <v>0.22057385430503129</v>
      </c>
      <c r="AX239" s="1251"/>
      <c r="AY239" s="323"/>
    </row>
    <row r="240" spans="2:61" ht="15" customHeight="1">
      <c r="AW240" s="1679"/>
      <c r="BA240" s="1232" t="s">
        <v>926</v>
      </c>
      <c r="BB240" s="30" t="s">
        <v>927</v>
      </c>
      <c r="BC240" s="30"/>
      <c r="BD240" s="30"/>
      <c r="BE240" s="30"/>
      <c r="BF240" s="30"/>
      <c r="BG240" s="30"/>
      <c r="BH240" s="308" t="s">
        <v>850</v>
      </c>
      <c r="BI240" s="308" t="s">
        <v>850</v>
      </c>
    </row>
    <row r="241" spans="2:84" ht="45" customHeight="1">
      <c r="AU241" s="426"/>
      <c r="BA241" s="1053" t="s">
        <v>928</v>
      </c>
      <c r="BB241" s="1053" t="str">
        <f>"Cobertura "&amp;YEAR(CAPA!C14)&amp;"/"&amp;YEAR(CAPA!C14)+1</f>
        <v>Cobertura 2021/2022</v>
      </c>
      <c r="BC241" s="1053" t="str">
        <f>"Cobertura "&amp;YEAR(CAPA!C14)&amp;"/"&amp;YEAR(CAPA!C14)+1&amp;" Atualizada"</f>
        <v>Cobertura 2021/2022 Atualizada</v>
      </c>
      <c r="BD241" s="1053" t="s">
        <v>929</v>
      </c>
      <c r="BE241" s="1053" t="s">
        <v>930</v>
      </c>
      <c r="BF241" s="1053" t="s">
        <v>931</v>
      </c>
      <c r="BG241" s="1053" t="str">
        <f>"Previsão "&amp;YEAR(CAPA!C14)+1&amp;"/"&amp;YEAR(CAPA!C14)+2</f>
        <v>Previsão 2022/2023</v>
      </c>
      <c r="BH241" s="1053" t="str">
        <f>"Previsão "&amp;YEAR(CAPA!C14)+1&amp;"/"&amp;YEAR(CAPA!C14)+2&amp;" + Diferença"</f>
        <v>Previsão 2022/2023 + Diferença</v>
      </c>
      <c r="BI241" s="355" t="str">
        <f>"Previsão "&amp;YEAR(CAPA!C14)+1&amp;"/"&amp;YEAR(CAPA!C14)+2&amp;" Atualizada"&amp;" + Diferença (Mensal)"</f>
        <v>Previsão 2022/2023 Atualizada + Diferença (Mensal)</v>
      </c>
      <c r="BJ241" s="421" t="s">
        <v>803</v>
      </c>
    </row>
    <row r="242" spans="2:84" ht="15" hidden="1" customHeight="1">
      <c r="B242" s="356"/>
      <c r="C242" s="356"/>
      <c r="D242" s="356"/>
      <c r="E242" s="356"/>
      <c r="BA242" s="449" t="str">
        <f>BO262</f>
        <v>Subsidio Carga Fonte Incentivda</v>
      </c>
      <c r="BB242" s="1054" t="e">
        <f>Indexador!#REF!</f>
        <v>#REF!</v>
      </c>
      <c r="BC242" s="1054" t="e">
        <f>Indexador!#REF!</f>
        <v>#REF!</v>
      </c>
      <c r="BD242" s="1054" t="e">
        <f>Indexador!#REF!</f>
        <v>#REF!</v>
      </c>
      <c r="BE242" s="1054" t="e">
        <f>Indexador!#REF!</f>
        <v>#REF!</v>
      </c>
      <c r="BF242" s="1054">
        <f>BP262</f>
        <v>0</v>
      </c>
      <c r="BG242" s="1054">
        <f t="shared" ref="BG242:BH247" si="23">BQ262</f>
        <v>0</v>
      </c>
      <c r="BH242" s="1054">
        <f t="shared" si="23"/>
        <v>0</v>
      </c>
      <c r="BI242" s="357" t="e">
        <f>Indexador!#REF!</f>
        <v>#REF!</v>
      </c>
      <c r="BJ242" s="338">
        <f t="shared" ref="BJ242:BJ248" si="24">IF(BH242=0,0,1)</f>
        <v>0</v>
      </c>
    </row>
    <row r="243" spans="2:84" ht="15" hidden="1" customHeight="1">
      <c r="B243" s="348"/>
      <c r="C243" s="349"/>
      <c r="D243" s="349"/>
      <c r="E243" s="21"/>
      <c r="AZ243" s="358"/>
      <c r="BA243" s="449" t="str">
        <f t="shared" ref="BA243:BA247" si="25">BO263</f>
        <v>Subsidio Geração Fonte Incentivda</v>
      </c>
      <c r="BB243" s="1054" t="e">
        <f>Indexador!#REF!</f>
        <v>#REF!</v>
      </c>
      <c r="BC243" s="1054" t="e">
        <f>Indexador!#REF!</f>
        <v>#REF!</v>
      </c>
      <c r="BD243" s="1054" t="e">
        <f>Indexador!#REF!</f>
        <v>#REF!</v>
      </c>
      <c r="BE243" s="1054" t="e">
        <f>Indexador!#REF!</f>
        <v>#REF!</v>
      </c>
      <c r="BF243" s="1055">
        <f t="shared" ref="BF243:BF247" si="26">BP263</f>
        <v>0</v>
      </c>
      <c r="BG243" s="1055">
        <f t="shared" si="23"/>
        <v>0</v>
      </c>
      <c r="BH243" s="1055">
        <f t="shared" si="23"/>
        <v>0</v>
      </c>
      <c r="BI243" s="357" t="e">
        <f>Indexador!#REF!</f>
        <v>#REF!</v>
      </c>
      <c r="BJ243" s="338">
        <f t="shared" si="24"/>
        <v>0</v>
      </c>
      <c r="BK243" s="359"/>
      <c r="BL243" s="359"/>
      <c r="BM243" s="359"/>
      <c r="BN243" s="359"/>
      <c r="BO243" s="359"/>
      <c r="BP243" s="359"/>
      <c r="BQ243" s="359"/>
      <c r="BR243" s="359"/>
      <c r="BS243" s="359"/>
      <c r="BT243" s="359"/>
      <c r="BU243" s="358"/>
      <c r="BV243" s="358"/>
      <c r="BW243" s="358"/>
      <c r="BX243" s="358"/>
      <c r="BY243" s="358"/>
      <c r="BZ243" s="358"/>
      <c r="CA243" s="358"/>
      <c r="CB243" s="358"/>
      <c r="CC243" s="358"/>
      <c r="CD243" s="358"/>
      <c r="CE243" s="358"/>
      <c r="CF243" s="358"/>
    </row>
    <row r="244" spans="2:84" ht="15" hidden="1" customHeight="1">
      <c r="B244" s="348"/>
      <c r="C244" s="349"/>
      <c r="D244" s="349"/>
      <c r="E244" s="21"/>
      <c r="AZ244" s="358"/>
      <c r="BA244" s="449" t="str">
        <f t="shared" si="25"/>
        <v>Subsidio Distribuição</v>
      </c>
      <c r="BB244" s="1054" t="e">
        <f>Indexador!#REF!</f>
        <v>#REF!</v>
      </c>
      <c r="BC244" s="1054" t="e">
        <f>Indexador!#REF!</f>
        <v>#REF!</v>
      </c>
      <c r="BD244" s="1054" t="e">
        <f>Indexador!#REF!</f>
        <v>#REF!</v>
      </c>
      <c r="BE244" s="1054" t="e">
        <f>Indexador!#REF!</f>
        <v>#REF!</v>
      </c>
      <c r="BF244" s="1055">
        <f t="shared" si="26"/>
        <v>0</v>
      </c>
      <c r="BG244" s="1055">
        <f t="shared" si="23"/>
        <v>0</v>
      </c>
      <c r="BH244" s="1055">
        <f t="shared" si="23"/>
        <v>0</v>
      </c>
      <c r="BI244" s="357" t="e">
        <f>Indexador!#REF!</f>
        <v>#REF!</v>
      </c>
      <c r="BJ244" s="338">
        <f t="shared" si="24"/>
        <v>0</v>
      </c>
      <c r="BK244" s="358"/>
      <c r="BL244" s="358"/>
      <c r="BM244" s="358"/>
      <c r="BN244" s="358"/>
      <c r="BO244" s="358"/>
      <c r="BP244" s="358"/>
      <c r="BQ244" s="358"/>
      <c r="BR244" s="358"/>
      <c r="BS244" s="358"/>
      <c r="BT244" s="358"/>
      <c r="BU244" s="358"/>
      <c r="BV244" s="358"/>
      <c r="BW244" s="358"/>
      <c r="BX244" s="358"/>
      <c r="BY244" s="358"/>
      <c r="BZ244" s="358"/>
      <c r="CA244" s="358"/>
      <c r="CB244" s="358"/>
      <c r="CC244" s="358"/>
      <c r="CD244" s="358"/>
      <c r="CE244" s="358"/>
      <c r="CF244" s="358"/>
    </row>
    <row r="245" spans="2:84" ht="15" customHeight="1">
      <c r="B245" s="348"/>
      <c r="D245" s="22"/>
      <c r="AW245" s="25"/>
      <c r="AZ245" s="358"/>
      <c r="BA245" s="449" t="str">
        <f t="shared" si="25"/>
        <v>Subsidio Água, Esgoto e Saneamento</v>
      </c>
      <c r="BB245" s="1054" t="e">
        <f>Indexador!#REF!</f>
        <v>#REF!</v>
      </c>
      <c r="BC245" s="1054" t="e">
        <f>Indexador!#REF!</f>
        <v>#REF!</v>
      </c>
      <c r="BD245" s="1054" t="e">
        <f>Indexador!#REF!</f>
        <v>#REF!</v>
      </c>
      <c r="BE245" s="1054" t="e">
        <f>Indexador!#REF!</f>
        <v>#REF!</v>
      </c>
      <c r="BF245" s="1055">
        <f t="shared" si="26"/>
        <v>211.13979662014631</v>
      </c>
      <c r="BG245" s="1055">
        <f t="shared" si="23"/>
        <v>1715.844708247542</v>
      </c>
      <c r="BH245" s="1055">
        <f t="shared" si="23"/>
        <v>1926.9845048676884</v>
      </c>
      <c r="BI245" s="357" t="e">
        <f>Indexador!#REF!</f>
        <v>#REF!</v>
      </c>
      <c r="BJ245" s="338">
        <f t="shared" si="24"/>
        <v>1</v>
      </c>
      <c r="BK245" s="358"/>
      <c r="BL245" s="358"/>
      <c r="BM245" s="358"/>
      <c r="BN245" s="358"/>
      <c r="BO245" s="358"/>
      <c r="BP245" s="358"/>
      <c r="BQ245" s="358"/>
      <c r="BR245" s="358"/>
      <c r="BS245" s="358"/>
      <c r="BT245" s="358"/>
      <c r="BU245" s="358"/>
      <c r="BV245" s="358"/>
      <c r="BW245" s="358"/>
      <c r="BX245" s="358"/>
      <c r="BY245" s="358"/>
      <c r="BZ245" s="358"/>
      <c r="CA245" s="358"/>
      <c r="CB245" s="358"/>
      <c r="CC245" s="358"/>
      <c r="CD245" s="358"/>
      <c r="CE245" s="358"/>
      <c r="CF245" s="358"/>
    </row>
    <row r="246" spans="2:84" ht="15" customHeight="1">
      <c r="B246" s="348"/>
      <c r="C246" s="349"/>
      <c r="D246" s="349"/>
      <c r="E246" s="21"/>
      <c r="AU246" s="426"/>
      <c r="AZ246" s="358"/>
      <c r="BA246" s="449" t="str">
        <f t="shared" si="25"/>
        <v>Subsidio Rural</v>
      </c>
      <c r="BB246" s="1054" t="e">
        <f>Indexador!#REF!</f>
        <v>#REF!</v>
      </c>
      <c r="BC246" s="1054" t="e">
        <f>Indexador!#REF!</f>
        <v>#REF!</v>
      </c>
      <c r="BD246" s="1054" t="e">
        <f>Indexador!#REF!</f>
        <v>#REF!</v>
      </c>
      <c r="BE246" s="1054" t="e">
        <f>Indexador!#REF!</f>
        <v>#REF!</v>
      </c>
      <c r="BF246" s="1055">
        <f t="shared" si="26"/>
        <v>-2222.1592699971152</v>
      </c>
      <c r="BG246" s="1055">
        <f t="shared" si="23"/>
        <v>11510.213566801858</v>
      </c>
      <c r="BH246" s="1055">
        <f t="shared" si="23"/>
        <v>9288.054296804743</v>
      </c>
      <c r="BI246" s="357" t="e">
        <f>Indexador!#REF!</f>
        <v>#REF!</v>
      </c>
      <c r="BJ246" s="338">
        <f t="shared" si="24"/>
        <v>1</v>
      </c>
      <c r="BK246" s="358"/>
      <c r="BL246" s="358"/>
      <c r="BM246" s="358"/>
      <c r="BN246" s="358"/>
      <c r="BO246" s="358"/>
      <c r="BP246" s="358"/>
      <c r="BQ246" s="358"/>
      <c r="BR246" s="358"/>
      <c r="BS246" s="358"/>
      <c r="BT246" s="358"/>
      <c r="BU246" s="358"/>
      <c r="BV246" s="358"/>
      <c r="BW246" s="358"/>
      <c r="BX246" s="358"/>
      <c r="BY246" s="358"/>
      <c r="BZ246" s="358"/>
      <c r="CA246" s="358"/>
      <c r="CB246" s="358"/>
      <c r="CC246" s="358"/>
      <c r="CD246" s="358"/>
      <c r="CE246" s="358"/>
      <c r="CF246" s="358"/>
    </row>
    <row r="247" spans="2:84" ht="15" customHeight="1">
      <c r="AU247" s="426"/>
      <c r="AZ247" s="358"/>
      <c r="BA247" s="449" t="str">
        <f t="shared" si="25"/>
        <v>Subsidio - Irrigante/Aquicultor</v>
      </c>
      <c r="BB247" s="1054" t="e">
        <f>Indexador!#REF!</f>
        <v>#REF!</v>
      </c>
      <c r="BC247" s="1054" t="e">
        <f>Indexador!#REF!</f>
        <v>#REF!</v>
      </c>
      <c r="BD247" s="1054" t="e">
        <f>Indexador!#REF!</f>
        <v>#REF!</v>
      </c>
      <c r="BE247" s="1054" t="e">
        <f>Indexador!#REF!</f>
        <v>#REF!</v>
      </c>
      <c r="BF247" s="1055">
        <f t="shared" si="26"/>
        <v>847.70302090975565</v>
      </c>
      <c r="BG247" s="1055">
        <f t="shared" si="23"/>
        <v>2615.7024634445902</v>
      </c>
      <c r="BH247" s="1055">
        <f t="shared" si="23"/>
        <v>3463.4054843543458</v>
      </c>
      <c r="BI247" s="357" t="e">
        <f>Indexador!#REF!</f>
        <v>#REF!</v>
      </c>
      <c r="BJ247" s="338">
        <f t="shared" si="24"/>
        <v>1</v>
      </c>
      <c r="BK247" s="358"/>
      <c r="BL247" s="358"/>
      <c r="BM247" s="358"/>
      <c r="BN247" s="358"/>
      <c r="BO247" s="358"/>
      <c r="BP247" s="358"/>
      <c r="BQ247" s="358"/>
      <c r="BR247" s="358"/>
      <c r="BS247" s="358"/>
      <c r="BT247" s="358"/>
      <c r="BU247" s="358"/>
      <c r="BV247" s="358"/>
      <c r="BW247" s="358"/>
      <c r="BX247" s="358"/>
      <c r="BY247" s="358"/>
      <c r="BZ247" s="358"/>
      <c r="CA247" s="358"/>
      <c r="CB247" s="358"/>
      <c r="CC247" s="358"/>
      <c r="CD247" s="358"/>
      <c r="CE247" s="358"/>
      <c r="CF247" s="358"/>
    </row>
    <row r="248" spans="2:84" ht="15" customHeight="1">
      <c r="AU248" s="426"/>
      <c r="AW248" s="426"/>
      <c r="AZ248" s="358"/>
      <c r="BA248" s="1243" t="s">
        <v>837</v>
      </c>
      <c r="BB248" s="1256" t="e">
        <f t="shared" ref="BB248:BI248" si="27">SUM(BB242:BB247)</f>
        <v>#REF!</v>
      </c>
      <c r="BC248" s="1256" t="e">
        <f t="shared" si="27"/>
        <v>#REF!</v>
      </c>
      <c r="BD248" s="1256" t="e">
        <f t="shared" si="27"/>
        <v>#REF!</v>
      </c>
      <c r="BE248" s="1256" t="e">
        <f t="shared" si="27"/>
        <v>#REF!</v>
      </c>
      <c r="BF248" s="1257">
        <f t="shared" si="27"/>
        <v>-1163.3164524672131</v>
      </c>
      <c r="BG248" s="1257">
        <f t="shared" si="27"/>
        <v>15841.760738493989</v>
      </c>
      <c r="BH248" s="1257">
        <f t="shared" si="27"/>
        <v>14678.444286026777</v>
      </c>
      <c r="BI248" s="1258" t="e">
        <f t="shared" si="27"/>
        <v>#REF!</v>
      </c>
      <c r="BJ248" s="340">
        <f t="shared" si="24"/>
        <v>1</v>
      </c>
      <c r="BK248" s="358"/>
      <c r="BL248" s="358"/>
      <c r="BM248" s="358"/>
      <c r="BN248" s="358"/>
      <c r="BO248" s="358"/>
      <c r="BP248" s="358"/>
      <c r="BQ248" s="358"/>
      <c r="BR248" s="358"/>
      <c r="BS248" s="358"/>
      <c r="BT248" s="358"/>
      <c r="BU248" s="358"/>
      <c r="BV248" s="358"/>
      <c r="BW248" s="358"/>
      <c r="BX248" s="358"/>
      <c r="BY248" s="358"/>
      <c r="BZ248" s="358"/>
      <c r="CA248" s="358"/>
      <c r="CB248" s="358"/>
      <c r="CC248" s="358"/>
      <c r="CD248" s="358"/>
      <c r="CE248" s="358"/>
      <c r="CF248" s="358"/>
    </row>
    <row r="249" spans="2:84" ht="15" customHeight="1">
      <c r="B249" s="356"/>
      <c r="C249" s="356"/>
      <c r="AZ249" s="358"/>
      <c r="BC249" s="358"/>
      <c r="BD249" s="358"/>
      <c r="BE249" s="358"/>
      <c r="BF249" s="358"/>
      <c r="BG249" s="358"/>
      <c r="BH249" s="358"/>
      <c r="BI249" s="358"/>
      <c r="BK249" s="1232" t="s">
        <v>704</v>
      </c>
      <c r="BL249" s="358"/>
      <c r="BM249" s="308" t="s">
        <v>850</v>
      </c>
      <c r="BN249" s="358"/>
      <c r="BO249" s="358"/>
      <c r="BP249" s="358"/>
      <c r="BQ249" s="358"/>
      <c r="BR249" s="358"/>
      <c r="BS249" s="358"/>
      <c r="BT249" s="358"/>
      <c r="BU249" s="358"/>
      <c r="BV249" s="358"/>
      <c r="BW249" s="358"/>
      <c r="BX249" s="358"/>
      <c r="BY249" s="358"/>
      <c r="BZ249" s="358"/>
      <c r="CA249" s="358"/>
      <c r="CB249" s="358"/>
      <c r="CC249" s="358"/>
      <c r="CD249" s="358"/>
      <c r="CE249" s="358"/>
      <c r="CF249" s="358"/>
    </row>
    <row r="250" spans="2:84" ht="15" customHeight="1">
      <c r="B250" s="312"/>
      <c r="C250" s="312"/>
      <c r="AZ250" s="358"/>
      <c r="BC250" s="358"/>
      <c r="BD250" s="358"/>
      <c r="BE250" s="358"/>
      <c r="BF250" s="358"/>
      <c r="BG250" s="358"/>
      <c r="BH250" s="358"/>
      <c r="BI250" s="358"/>
      <c r="BJ250" s="358"/>
      <c r="BK250" s="1259" t="s">
        <v>932</v>
      </c>
      <c r="BL250" s="1259" t="s">
        <v>870</v>
      </c>
      <c r="BM250" s="1259" t="s">
        <v>909</v>
      </c>
      <c r="BN250" s="474" t="s">
        <v>803</v>
      </c>
      <c r="BO250" s="358"/>
      <c r="BP250" s="358"/>
      <c r="BQ250" s="358"/>
      <c r="BR250" s="358"/>
      <c r="BS250" s="358"/>
      <c r="BT250" s="358"/>
      <c r="BU250" s="358"/>
      <c r="BV250" s="358"/>
      <c r="BW250" s="358"/>
      <c r="BX250" s="358"/>
      <c r="BY250" s="358"/>
      <c r="BZ250" s="358"/>
      <c r="CA250" s="358"/>
      <c r="CB250" s="358"/>
      <c r="CC250" s="358"/>
      <c r="CD250" s="358"/>
      <c r="CE250" s="358"/>
      <c r="CF250" s="358"/>
    </row>
    <row r="251" spans="2:84" ht="15" hidden="1" customHeight="1">
      <c r="B251" s="312"/>
      <c r="C251" s="312"/>
      <c r="AZ251" s="358"/>
      <c r="BC251" s="358"/>
      <c r="BD251" s="358"/>
      <c r="BE251" s="358"/>
      <c r="BF251" s="358"/>
      <c r="BG251" s="358"/>
      <c r="BH251" s="358"/>
      <c r="BI251" s="358"/>
      <c r="BJ251" s="358"/>
      <c r="BK251" s="65" t="s">
        <v>704</v>
      </c>
      <c r="BL251" s="360">
        <f ca="1">Resultado!C25</f>
        <v>0</v>
      </c>
      <c r="BM251" s="360">
        <f>Resultado!D25</f>
        <v>0</v>
      </c>
      <c r="BN251" s="338">
        <f t="shared" ref="BN251:BN258" si="28">IF(BM251=0,0,1)</f>
        <v>0</v>
      </c>
      <c r="BO251" s="358"/>
      <c r="BP251" s="358"/>
      <c r="BQ251" s="358"/>
      <c r="BR251" s="358"/>
      <c r="BS251" s="358"/>
      <c r="BT251" s="358"/>
      <c r="BU251" s="358"/>
      <c r="BV251" s="358"/>
      <c r="BW251" s="358"/>
      <c r="BX251" s="358"/>
      <c r="BY251" s="358"/>
      <c r="BZ251" s="358"/>
      <c r="CA251" s="358"/>
      <c r="CB251" s="358"/>
      <c r="CC251" s="358"/>
      <c r="CD251" s="358"/>
      <c r="CE251" s="358"/>
      <c r="CF251" s="358"/>
    </row>
    <row r="252" spans="2:84" ht="15" hidden="1" customHeight="1">
      <c r="B252" s="312"/>
      <c r="C252" s="312"/>
      <c r="AZ252" s="358"/>
      <c r="BC252" s="358"/>
      <c r="BD252" s="358"/>
      <c r="BE252" s="358"/>
      <c r="BF252" s="358"/>
      <c r="BG252" s="358"/>
      <c r="BH252" s="358"/>
      <c r="BI252" s="358"/>
      <c r="BJ252" s="358"/>
      <c r="BK252" s="65" t="s">
        <v>706</v>
      </c>
      <c r="BL252" s="360">
        <f ca="1">Resultado!C26</f>
        <v>0</v>
      </c>
      <c r="BM252" s="360">
        <f>Resultado!D26</f>
        <v>0</v>
      </c>
      <c r="BN252" s="338">
        <f t="shared" si="28"/>
        <v>0</v>
      </c>
      <c r="BO252" s="358"/>
      <c r="BP252" s="358"/>
      <c r="BQ252" s="358"/>
      <c r="BR252" s="358"/>
      <c r="BS252" s="358"/>
      <c r="BT252" s="358"/>
      <c r="BU252" s="358"/>
      <c r="BV252" s="358"/>
      <c r="BW252" s="358"/>
      <c r="BX252" s="358"/>
      <c r="BY252" s="358"/>
      <c r="BZ252" s="358"/>
      <c r="CA252" s="358"/>
      <c r="CB252" s="358"/>
      <c r="CC252" s="358"/>
      <c r="CD252" s="358"/>
      <c r="CE252" s="358"/>
      <c r="CF252" s="358"/>
    </row>
    <row r="253" spans="2:84" ht="15" hidden="1" customHeight="1">
      <c r="B253" s="312"/>
      <c r="C253" s="312"/>
      <c r="H253" s="23"/>
      <c r="AZ253" s="358"/>
      <c r="BC253" s="358"/>
      <c r="BD253" s="358"/>
      <c r="BE253" s="358"/>
      <c r="BF253" s="358"/>
      <c r="BG253" s="358"/>
      <c r="BH253" s="358"/>
      <c r="BI253" s="358"/>
      <c r="BJ253" s="358"/>
      <c r="BK253" s="65" t="s">
        <v>795</v>
      </c>
      <c r="BL253" s="360"/>
      <c r="BM253" s="360"/>
      <c r="BN253" s="338">
        <f t="shared" si="28"/>
        <v>0</v>
      </c>
      <c r="BO253" s="358"/>
      <c r="BP253" s="358"/>
      <c r="BQ253" s="358"/>
      <c r="BR253" s="358"/>
      <c r="BS253" s="358"/>
      <c r="BT253" s="358"/>
      <c r="BU253" s="358"/>
      <c r="BV253" s="358"/>
      <c r="BW253" s="358"/>
      <c r="BX253" s="358"/>
      <c r="BY253" s="358"/>
      <c r="BZ253" s="358"/>
      <c r="CA253" s="358"/>
      <c r="CB253" s="358"/>
      <c r="CC253" s="358"/>
      <c r="CD253" s="358"/>
      <c r="CE253" s="358"/>
      <c r="CF253" s="358"/>
    </row>
    <row r="254" spans="2:84" ht="15" hidden="1" customHeight="1">
      <c r="B254" s="312"/>
      <c r="C254" s="312"/>
      <c r="H254" s="23"/>
      <c r="AZ254" s="358"/>
      <c r="BC254" s="358"/>
      <c r="BD254" s="358"/>
      <c r="BE254" s="358"/>
      <c r="BF254" s="358"/>
      <c r="BG254" s="358"/>
      <c r="BH254" s="358"/>
      <c r="BI254" s="358"/>
      <c r="BJ254" s="358"/>
      <c r="BK254" s="65" t="s">
        <v>796</v>
      </c>
      <c r="BL254" s="360"/>
      <c r="BM254" s="360"/>
      <c r="BN254" s="338">
        <f t="shared" si="28"/>
        <v>0</v>
      </c>
      <c r="BO254" s="358"/>
      <c r="BP254" s="358"/>
      <c r="BQ254" s="358"/>
      <c r="BR254" s="358"/>
      <c r="BS254" s="358"/>
      <c r="BT254" s="358"/>
      <c r="BU254" s="358"/>
      <c r="BV254" s="358"/>
      <c r="BW254" s="358"/>
      <c r="BX254" s="358"/>
      <c r="BY254" s="358"/>
      <c r="BZ254" s="358"/>
      <c r="CA254" s="358"/>
      <c r="CB254" s="358"/>
      <c r="CC254" s="358"/>
      <c r="CD254" s="358"/>
      <c r="CE254" s="358"/>
      <c r="CF254" s="358"/>
    </row>
    <row r="255" spans="2:84" ht="15" hidden="1" customHeight="1">
      <c r="B255" s="312"/>
      <c r="C255" s="312"/>
      <c r="H255" s="23"/>
      <c r="AZ255" s="358"/>
      <c r="BC255" s="358"/>
      <c r="BD255" s="358"/>
      <c r="BE255" s="358"/>
      <c r="BF255" s="358"/>
      <c r="BG255" s="358"/>
      <c r="BH255" s="358"/>
      <c r="BI255" s="358"/>
      <c r="BJ255" s="358"/>
      <c r="BK255" s="65" t="s">
        <v>797</v>
      </c>
      <c r="BL255" s="360"/>
      <c r="BM255" s="360"/>
      <c r="BN255" s="338">
        <f t="shared" si="28"/>
        <v>0</v>
      </c>
      <c r="BO255" s="358"/>
      <c r="BP255" s="358"/>
      <c r="BQ255" s="358"/>
      <c r="BR255" s="358"/>
      <c r="BS255" s="358"/>
      <c r="BT255" s="358"/>
      <c r="BU255" s="358"/>
      <c r="BV255" s="358"/>
      <c r="BW255" s="358"/>
      <c r="BX255" s="358"/>
      <c r="BY255" s="358"/>
      <c r="BZ255" s="358"/>
      <c r="CA255" s="358"/>
      <c r="CB255" s="358"/>
      <c r="CC255" s="358"/>
      <c r="CD255" s="358"/>
      <c r="CE255" s="358"/>
      <c r="CF255" s="358"/>
    </row>
    <row r="256" spans="2:84" ht="15" hidden="1" customHeight="1">
      <c r="B256" s="312"/>
      <c r="C256" s="312"/>
      <c r="H256" s="23"/>
      <c r="AZ256" s="358"/>
      <c r="BC256" s="358"/>
      <c r="BD256" s="358"/>
      <c r="BE256" s="358"/>
      <c r="BF256" s="358"/>
      <c r="BG256" s="358"/>
      <c r="BH256" s="358"/>
      <c r="BI256" s="358"/>
      <c r="BJ256" s="358"/>
      <c r="BK256" s="65" t="s">
        <v>798</v>
      </c>
      <c r="BL256" s="360"/>
      <c r="BM256" s="360"/>
      <c r="BN256" s="338">
        <f t="shared" si="28"/>
        <v>0</v>
      </c>
      <c r="BO256" s="358"/>
      <c r="BP256" s="358"/>
      <c r="BQ256" s="358"/>
      <c r="BR256" s="358"/>
      <c r="BS256" s="358"/>
      <c r="BT256" s="358"/>
      <c r="BU256" s="358"/>
      <c r="BV256" s="358"/>
      <c r="BW256" s="358"/>
      <c r="BX256" s="358"/>
      <c r="BY256" s="358"/>
      <c r="BZ256" s="358"/>
      <c r="CA256" s="358"/>
      <c r="CB256" s="358"/>
      <c r="CC256" s="358"/>
      <c r="CD256" s="358"/>
      <c r="CE256" s="358"/>
      <c r="CF256" s="358"/>
    </row>
    <row r="257" spans="2:84" ht="15" hidden="1" customHeight="1">
      <c r="B257" s="312"/>
      <c r="C257" s="312"/>
      <c r="H257" s="23"/>
      <c r="AZ257" s="358"/>
      <c r="BC257" s="358"/>
      <c r="BD257" s="358"/>
      <c r="BE257" s="358"/>
      <c r="BF257" s="358"/>
      <c r="BG257" s="358"/>
      <c r="BH257" s="358"/>
      <c r="BI257" s="358"/>
      <c r="BJ257" s="358"/>
      <c r="BK257" s="65" t="s">
        <v>707</v>
      </c>
      <c r="BL257" s="360">
        <f ca="1">Resultado!C31</f>
        <v>0</v>
      </c>
      <c r="BM257" s="360">
        <f>Resultado!D31</f>
        <v>0</v>
      </c>
      <c r="BN257" s="338">
        <f t="shared" si="28"/>
        <v>0</v>
      </c>
      <c r="BO257" s="358"/>
      <c r="BP257" s="358"/>
      <c r="BQ257" s="358"/>
      <c r="BR257" s="358"/>
      <c r="BS257" s="358"/>
      <c r="BT257" s="358"/>
      <c r="BU257" s="358"/>
      <c r="BV257" s="358"/>
      <c r="BW257" s="358"/>
      <c r="BX257" s="358"/>
      <c r="BY257" s="358"/>
      <c r="BZ257" s="358"/>
      <c r="CA257" s="358"/>
      <c r="CB257" s="358"/>
      <c r="CC257" s="358"/>
      <c r="CD257" s="358"/>
      <c r="CE257" s="358"/>
      <c r="CF257" s="358"/>
    </row>
    <row r="258" spans="2:84" ht="15" hidden="1" customHeight="1">
      <c r="B258" s="312"/>
      <c r="C258" s="312"/>
      <c r="H258" s="23"/>
      <c r="AZ258" s="358"/>
      <c r="BC258" s="358"/>
      <c r="BD258" s="358"/>
      <c r="BE258" s="358"/>
      <c r="BF258" s="358"/>
      <c r="BG258" s="358"/>
      <c r="BH258" s="358"/>
      <c r="BI258" s="358"/>
      <c r="BJ258" s="358"/>
      <c r="BK258" s="65" t="s">
        <v>708</v>
      </c>
      <c r="BL258" s="360">
        <f>Resultado!DJ283</f>
        <v>0</v>
      </c>
      <c r="BM258" s="360">
        <f>Resultado!DK283</f>
        <v>0</v>
      </c>
      <c r="BN258" s="340">
        <f t="shared" si="28"/>
        <v>0</v>
      </c>
      <c r="BO258" s="358"/>
      <c r="BP258" s="358"/>
      <c r="BQ258" s="358"/>
      <c r="BR258" s="358"/>
      <c r="BS258" s="358"/>
      <c r="BT258" s="358"/>
      <c r="BU258" s="358"/>
      <c r="BV258" s="358"/>
      <c r="BW258" s="358"/>
      <c r="BX258" s="358"/>
      <c r="BY258" s="358"/>
      <c r="BZ258" s="358"/>
      <c r="CA258" s="358"/>
      <c r="CB258" s="358"/>
      <c r="CC258" s="358"/>
      <c r="CD258" s="358"/>
      <c r="CE258" s="358"/>
      <c r="CF258" s="358"/>
    </row>
    <row r="259" spans="2:84" ht="15" customHeight="1">
      <c r="B259" s="312"/>
      <c r="C259" s="312"/>
      <c r="H259" s="23"/>
      <c r="AU259" s="315"/>
      <c r="AZ259" s="358"/>
      <c r="BA259" s="358"/>
      <c r="BB259" s="358"/>
      <c r="BC259" s="358"/>
      <c r="BD259" s="358"/>
      <c r="BE259" s="358"/>
      <c r="BF259" s="358"/>
      <c r="BG259" s="358"/>
      <c r="BH259" s="358"/>
      <c r="BI259" s="358"/>
      <c r="BJ259" s="358"/>
      <c r="BK259" s="1260" t="s">
        <v>933</v>
      </c>
      <c r="BL259" s="1258">
        <f ca="1">SUM(BL251:BL258)</f>
        <v>0</v>
      </c>
      <c r="BM259" s="1258">
        <f>SUM(BM251:BM258)</f>
        <v>0</v>
      </c>
      <c r="BN259" s="338">
        <f ca="1">IF(BL259=0,0,1)</f>
        <v>0</v>
      </c>
      <c r="BO259" s="1232" t="s">
        <v>934</v>
      </c>
      <c r="BP259" s="358"/>
      <c r="BQ259" s="358"/>
      <c r="BR259" s="308" t="s">
        <v>850</v>
      </c>
      <c r="BS259" s="358"/>
      <c r="BT259" s="358"/>
      <c r="BU259" s="358"/>
      <c r="BV259" s="358"/>
      <c r="BW259" s="358"/>
      <c r="BX259" s="358"/>
      <c r="BY259" s="358"/>
      <c r="BZ259" s="358"/>
      <c r="CA259" s="358"/>
      <c r="CB259" s="358"/>
      <c r="CC259" s="358"/>
      <c r="CD259" s="358"/>
      <c r="CE259" s="358"/>
      <c r="CF259" s="358"/>
    </row>
    <row r="260" spans="2:84" ht="15" customHeight="1">
      <c r="B260" s="312"/>
      <c r="C260" s="312"/>
      <c r="H260" s="23"/>
      <c r="AZ260" s="358"/>
      <c r="BA260" s="358"/>
      <c r="BB260" s="358"/>
      <c r="BC260" s="358"/>
      <c r="BD260" s="358"/>
      <c r="BE260" s="358"/>
      <c r="BF260" s="358"/>
      <c r="BG260" s="358"/>
      <c r="BH260" s="358"/>
      <c r="BI260" s="358"/>
      <c r="BJ260" s="358"/>
      <c r="BN260" s="358"/>
      <c r="BO260" s="361" t="str">
        <f>"TABELA 9 – VALOR MENSAL DA SUBVENÇÃO DA CDE PARA CUSTEAR DESCONTOS TARIFÁRIOS ("&amp;LnkTXTSigla&amp;")."</f>
        <v>TABELA 9 – VALOR MENSAL DA SUBVENÇÃO DA CDE PARA CUSTEAR DESCONTOS TARIFÁRIOS (Cercos).</v>
      </c>
      <c r="BP260" s="362"/>
      <c r="BQ260" s="362"/>
      <c r="BR260" s="362"/>
      <c r="BS260" s="290"/>
      <c r="BU260" s="358"/>
      <c r="BV260" s="358"/>
      <c r="BW260" s="358"/>
      <c r="BX260" s="358"/>
      <c r="BY260" s="358"/>
      <c r="BZ260" s="358"/>
      <c r="CA260" s="358"/>
      <c r="CB260" s="358"/>
      <c r="CC260" s="358"/>
      <c r="CD260" s="358"/>
      <c r="CE260" s="358"/>
      <c r="CF260" s="358"/>
    </row>
    <row r="261" spans="2:84" ht="12.75">
      <c r="B261" s="312"/>
      <c r="C261" s="312"/>
      <c r="H261" s="23"/>
      <c r="AZ261" s="358"/>
      <c r="BA261" s="358"/>
      <c r="BB261" s="358"/>
      <c r="BC261" s="358"/>
      <c r="BD261" s="358"/>
      <c r="BE261" s="358"/>
      <c r="BF261" s="358"/>
      <c r="BG261" s="358"/>
      <c r="BH261" s="358"/>
      <c r="BI261" s="358"/>
      <c r="BJ261" s="358"/>
      <c r="BN261" s="358"/>
      <c r="BO261" s="1261" t="s">
        <v>935</v>
      </c>
      <c r="BP261" s="1261" t="s">
        <v>936</v>
      </c>
      <c r="BQ261" s="1261" t="s">
        <v>937</v>
      </c>
      <c r="BR261" s="1262" t="s">
        <v>938</v>
      </c>
      <c r="BS261" s="414" t="s">
        <v>803</v>
      </c>
      <c r="BU261" s="358"/>
      <c r="BV261" s="358"/>
      <c r="BW261" s="308" t="s">
        <v>850</v>
      </c>
      <c r="BX261" s="358"/>
      <c r="BY261" s="358"/>
      <c r="BZ261" s="358"/>
      <c r="CA261" s="358"/>
      <c r="CB261" s="358"/>
      <c r="CC261" s="358"/>
      <c r="CD261" s="358"/>
      <c r="CE261" s="358"/>
      <c r="CF261" s="358"/>
    </row>
    <row r="262" spans="2:84" ht="12.75">
      <c r="B262" s="312"/>
      <c r="C262" s="312"/>
      <c r="H262" s="23"/>
      <c r="AU262" s="426"/>
      <c r="AZ262" s="358"/>
      <c r="BA262" s="358"/>
      <c r="BB262" s="358"/>
      <c r="BC262" s="358"/>
      <c r="BD262" s="358"/>
      <c r="BE262" s="358"/>
      <c r="BF262" s="358"/>
      <c r="BG262" s="358"/>
      <c r="BH262" s="358"/>
      <c r="BI262" s="358"/>
      <c r="BJ262" s="358"/>
      <c r="BK262" s="358"/>
      <c r="BL262" s="358"/>
      <c r="BM262" s="358"/>
      <c r="BN262" s="358"/>
      <c r="BO262" s="1263" t="s">
        <v>939</v>
      </c>
      <c r="BP262" s="1264">
        <f>IFERROR(Aj.Subsídio!L5,0)</f>
        <v>0</v>
      </c>
      <c r="BQ262" s="1264">
        <f>IFERROR(Aj.Subsídio!M5,0)</f>
        <v>0</v>
      </c>
      <c r="BR262" s="1264">
        <f t="shared" ref="BR262:BR268" si="29">BP262+BQ262</f>
        <v>0</v>
      </c>
      <c r="BS262" s="415">
        <f t="shared" ref="BS262:BS268" si="30">IF(BR262=0,0,1)</f>
        <v>0</v>
      </c>
      <c r="BU262" s="358"/>
      <c r="BV262" s="358"/>
      <c r="BW262" s="358"/>
      <c r="BX262" s="358"/>
      <c r="BY262" s="358"/>
      <c r="BZ262" s="358"/>
      <c r="CA262" s="358"/>
      <c r="CB262" s="358"/>
      <c r="CC262" s="358"/>
      <c r="CD262" s="358"/>
      <c r="CE262" s="358"/>
      <c r="CF262" s="358"/>
    </row>
    <row r="263" spans="2:84" ht="12.75">
      <c r="B263" s="312"/>
      <c r="C263" s="312"/>
      <c r="H263" s="23"/>
      <c r="AZ263" s="358"/>
      <c r="BA263" s="358"/>
      <c r="BB263" s="358"/>
      <c r="BC263" s="358"/>
      <c r="BD263" s="358"/>
      <c r="BE263" s="358"/>
      <c r="BF263" s="358"/>
      <c r="BG263" s="358"/>
      <c r="BH263" s="358"/>
      <c r="BI263" s="358"/>
      <c r="BJ263" s="358"/>
      <c r="BK263" s="358"/>
      <c r="BL263" s="358"/>
      <c r="BM263" s="358"/>
      <c r="BN263" s="358"/>
      <c r="BO263" s="1263" t="s">
        <v>940</v>
      </c>
      <c r="BP263" s="1264">
        <f>IFERROR(Aj.Subsídio!L6,0)</f>
        <v>0</v>
      </c>
      <c r="BQ263" s="1264">
        <f>IFERROR(Aj.Subsídio!M6,0)</f>
        <v>0</v>
      </c>
      <c r="BR263" s="1265">
        <f t="shared" si="29"/>
        <v>0</v>
      </c>
      <c r="BS263" s="363">
        <f t="shared" si="30"/>
        <v>0</v>
      </c>
      <c r="BU263" s="358"/>
      <c r="BV263" s="358"/>
      <c r="BW263" s="358"/>
      <c r="BX263" s="358"/>
      <c r="BY263" s="358"/>
      <c r="BZ263" s="358"/>
      <c r="CA263" s="358"/>
      <c r="CB263" s="358"/>
      <c r="CC263" s="358"/>
      <c r="CD263" s="358"/>
      <c r="CE263" s="358"/>
      <c r="CF263" s="358"/>
    </row>
    <row r="264" spans="2:84" ht="12.75">
      <c r="B264" s="312"/>
      <c r="C264" s="312"/>
      <c r="H264" s="23"/>
      <c r="AZ264" s="358"/>
      <c r="BB264" s="358"/>
      <c r="BC264" s="358"/>
      <c r="BD264" s="358"/>
      <c r="BE264" s="358"/>
      <c r="BF264" s="358"/>
      <c r="BG264" s="358"/>
      <c r="BH264" s="358"/>
      <c r="BI264" s="358"/>
      <c r="BJ264" s="358"/>
      <c r="BK264" s="358"/>
      <c r="BL264" s="358"/>
      <c r="BM264" s="358"/>
      <c r="BN264" s="358"/>
      <c r="BO264" s="1263" t="s">
        <v>941</v>
      </c>
      <c r="BP264" s="1264">
        <f>IFERROR(Aj.Subsídio!L7,0)</f>
        <v>0</v>
      </c>
      <c r="BQ264" s="1264">
        <f>IFERROR(Aj.Subsídio!M7,0)</f>
        <v>0</v>
      </c>
      <c r="BR264" s="1265">
        <f t="shared" si="29"/>
        <v>0</v>
      </c>
      <c r="BS264" s="363">
        <f t="shared" si="30"/>
        <v>0</v>
      </c>
      <c r="BU264" s="358"/>
      <c r="BV264" s="358"/>
      <c r="BW264" s="358"/>
      <c r="BX264" s="358"/>
      <c r="BY264" s="358"/>
      <c r="BZ264" s="358"/>
      <c r="CA264" s="358"/>
      <c r="CB264" s="358"/>
      <c r="CC264" s="358"/>
      <c r="CD264" s="358"/>
      <c r="CE264" s="358"/>
      <c r="CF264" s="358"/>
    </row>
    <row r="265" spans="2:84" ht="12.75">
      <c r="B265" s="312"/>
      <c r="C265" s="312"/>
      <c r="H265" s="23"/>
      <c r="AZ265" s="358"/>
      <c r="BA265" s="358"/>
      <c r="BB265" s="358"/>
      <c r="BC265" s="358"/>
      <c r="BD265" s="358"/>
      <c r="BE265" s="358"/>
      <c r="BF265" s="358"/>
      <c r="BG265" s="358"/>
      <c r="BH265" s="358"/>
      <c r="BI265" s="358"/>
      <c r="BJ265" s="358"/>
      <c r="BK265" s="358"/>
      <c r="BL265" s="358"/>
      <c r="BM265" s="358"/>
      <c r="BN265" s="358"/>
      <c r="BO265" s="1263" t="s">
        <v>942</v>
      </c>
      <c r="BP265" s="1264">
        <f>IFERROR(Aj.Subsídio!L8,0)</f>
        <v>211.13979662014631</v>
      </c>
      <c r="BQ265" s="1264">
        <f>IFERROR(Aj.Subsídio!M8,0)</f>
        <v>1715.844708247542</v>
      </c>
      <c r="BR265" s="1265">
        <f t="shared" si="29"/>
        <v>1926.9845048676884</v>
      </c>
      <c r="BS265" s="363">
        <f t="shared" si="30"/>
        <v>1</v>
      </c>
      <c r="BU265" s="358"/>
      <c r="BV265" s="358"/>
      <c r="BW265" s="358"/>
      <c r="BX265" s="358"/>
      <c r="BY265" s="358"/>
      <c r="BZ265" s="358"/>
      <c r="CA265" s="358"/>
      <c r="CB265" s="358"/>
      <c r="CC265" s="358"/>
      <c r="CD265" s="358"/>
      <c r="CE265" s="358"/>
      <c r="CF265" s="358"/>
    </row>
    <row r="266" spans="2:84" ht="12.75">
      <c r="B266" s="312"/>
      <c r="C266" s="312"/>
      <c r="H266" s="23"/>
      <c r="AZ266" s="358"/>
      <c r="BA266" s="358"/>
      <c r="BB266" s="358"/>
      <c r="BC266" s="358"/>
      <c r="BD266" s="358"/>
      <c r="BE266" s="358"/>
      <c r="BF266" s="358"/>
      <c r="BG266" s="358"/>
      <c r="BH266" s="358"/>
      <c r="BI266" s="358"/>
      <c r="BJ266" s="358"/>
      <c r="BK266" s="358"/>
      <c r="BL266" s="358"/>
      <c r="BM266" s="358"/>
      <c r="BN266" s="358"/>
      <c r="BO266" s="1263" t="s">
        <v>943</v>
      </c>
      <c r="BP266" s="1264">
        <f>IFERROR(Aj.Subsídio!L9,0)</f>
        <v>-2222.1592699971152</v>
      </c>
      <c r="BQ266" s="1264">
        <f>IFERROR(Aj.Subsídio!M9,0)</f>
        <v>11510.213566801858</v>
      </c>
      <c r="BR266" s="1265">
        <f t="shared" si="29"/>
        <v>9288.054296804743</v>
      </c>
      <c r="BS266" s="363">
        <f t="shared" si="30"/>
        <v>1</v>
      </c>
      <c r="BU266" s="358"/>
      <c r="BV266" s="358"/>
      <c r="BW266" s="358"/>
      <c r="BX266" s="358"/>
      <c r="BY266" s="359"/>
      <c r="BZ266" s="359"/>
      <c r="CA266" s="359"/>
      <c r="CB266" s="359"/>
      <c r="CC266" s="359"/>
      <c r="CD266" s="359"/>
      <c r="CE266" s="359"/>
      <c r="CF266" s="358"/>
    </row>
    <row r="267" spans="2:84" ht="12.75">
      <c r="B267" s="312"/>
      <c r="C267" s="312"/>
      <c r="H267" s="23"/>
      <c r="AZ267" s="358"/>
      <c r="BA267" s="358"/>
      <c r="BB267" s="358"/>
      <c r="BC267" s="358"/>
      <c r="BD267" s="358"/>
      <c r="BE267" s="358"/>
      <c r="BF267" s="358"/>
      <c r="BG267" s="358"/>
      <c r="BH267" s="358"/>
      <c r="BI267" s="358"/>
      <c r="BJ267" s="358"/>
      <c r="BK267" s="358"/>
      <c r="BL267" s="358"/>
      <c r="BM267" s="358"/>
      <c r="BN267" s="358"/>
      <c r="BO267" s="1263" t="s">
        <v>944</v>
      </c>
      <c r="BP267" s="1264">
        <f>IFERROR(Aj.Subsídio!L10,0)</f>
        <v>847.70302090975565</v>
      </c>
      <c r="BQ267" s="1264">
        <f>IFERROR(Aj.Subsídio!M10,0)</f>
        <v>2615.7024634445902</v>
      </c>
      <c r="BR267" s="1265">
        <f t="shared" si="29"/>
        <v>3463.4054843543458</v>
      </c>
      <c r="BS267" s="363">
        <f t="shared" si="30"/>
        <v>1</v>
      </c>
      <c r="BU267" s="358"/>
      <c r="BV267" s="358"/>
      <c r="BW267" s="358"/>
      <c r="BX267" s="358"/>
      <c r="BY267" s="358"/>
      <c r="BZ267" s="358"/>
      <c r="CA267" s="358"/>
      <c r="CB267" s="358"/>
      <c r="CC267" s="358"/>
      <c r="CD267" s="358"/>
      <c r="CE267" s="358"/>
      <c r="CF267" s="358"/>
    </row>
    <row r="268" spans="2:84" ht="12.75">
      <c r="B268" s="312"/>
      <c r="C268" s="312"/>
      <c r="H268" s="23"/>
      <c r="AZ268" s="358"/>
      <c r="BA268" s="358"/>
      <c r="BB268" s="358"/>
      <c r="BC268" s="358"/>
      <c r="BD268" s="358"/>
      <c r="BE268" s="358"/>
      <c r="BF268" s="358"/>
      <c r="BG268" s="358"/>
      <c r="BH268" s="358"/>
      <c r="BI268" s="358"/>
      <c r="BJ268" s="358"/>
      <c r="BK268" s="358"/>
      <c r="BL268" s="358"/>
      <c r="BM268" s="358"/>
      <c r="BN268" s="358"/>
      <c r="BO268" s="1266" t="s">
        <v>846</v>
      </c>
      <c r="BP268" s="1264">
        <f>SUM(BP262:BP267)</f>
        <v>-1163.3164524672131</v>
      </c>
      <c r="BQ268" s="1264">
        <f>SUM(BQ262:BQ267)</f>
        <v>15841.760738493989</v>
      </c>
      <c r="BR268" s="1265">
        <f t="shared" si="29"/>
        <v>14678.444286026775</v>
      </c>
      <c r="BS268" s="415">
        <f t="shared" si="30"/>
        <v>1</v>
      </c>
      <c r="BU268" s="358"/>
      <c r="BY268" s="358"/>
      <c r="BZ268" s="358"/>
      <c r="CA268" s="358"/>
      <c r="CB268" s="358"/>
      <c r="CC268" s="358"/>
      <c r="CD268" s="358"/>
      <c r="CE268" s="358"/>
      <c r="CF268" s="358"/>
    </row>
    <row r="269" spans="2:84" ht="12.75">
      <c r="B269" s="312"/>
      <c r="C269" s="312"/>
      <c r="H269" s="23"/>
      <c r="AZ269" s="358"/>
      <c r="BA269" s="358"/>
      <c r="BB269" s="358"/>
      <c r="BC269" s="358"/>
      <c r="BD269" s="358"/>
      <c r="BE269" s="358"/>
      <c r="BF269" s="358"/>
      <c r="BG269" s="358"/>
      <c r="BH269" s="358"/>
      <c r="BI269" s="358"/>
      <c r="BJ269" s="358"/>
      <c r="BK269" s="358"/>
      <c r="BL269" s="358"/>
      <c r="BM269" s="358"/>
      <c r="BN269" s="358"/>
      <c r="BO269" s="358"/>
      <c r="BP269" s="358"/>
      <c r="BQ269" s="358"/>
      <c r="BR269" s="358"/>
      <c r="BS269" s="416"/>
      <c r="BT269" s="679" t="s">
        <v>945</v>
      </c>
      <c r="BU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2.75">
      <c r="B270" s="312"/>
      <c r="C270" s="312"/>
      <c r="H270" s="23"/>
      <c r="AZ270" s="358"/>
      <c r="BA270" s="358"/>
      <c r="BB270" s="358"/>
      <c r="BC270" s="358"/>
      <c r="BD270" s="358"/>
      <c r="BE270" s="358"/>
      <c r="BF270" s="358"/>
      <c r="BG270" s="358"/>
      <c r="BH270" s="358"/>
      <c r="BI270" s="358"/>
      <c r="BJ270" s="358"/>
      <c r="BK270" s="358"/>
      <c r="BL270" s="358"/>
      <c r="BM270" s="358"/>
      <c r="BN270" s="358"/>
      <c r="BO270" s="358"/>
      <c r="BP270" s="358"/>
      <c r="BQ270" s="358"/>
      <c r="BR270" s="49"/>
      <c r="BS270" s="358"/>
      <c r="BT270" s="60" t="s">
        <v>27</v>
      </c>
      <c r="BU270" s="60" t="s">
        <v>21</v>
      </c>
      <c r="BV270" s="60" t="s">
        <v>946</v>
      </c>
      <c r="BW270" s="60" t="s">
        <v>947</v>
      </c>
      <c r="BY270" s="23" t="s">
        <v>803</v>
      </c>
      <c r="BZ270" s="681" t="s">
        <v>948</v>
      </c>
      <c r="CA270" s="358"/>
      <c r="CB270" s="358"/>
      <c r="CC270" s="358"/>
      <c r="CD270" s="358"/>
      <c r="CE270" s="358"/>
      <c r="CF270" s="358"/>
    </row>
    <row r="271" spans="2:84" ht="15" customHeight="1">
      <c r="B271" s="312"/>
      <c r="C271" s="312"/>
      <c r="H271" s="23"/>
      <c r="AZ271" s="358"/>
      <c r="BA271" s="358"/>
      <c r="BB271" s="358"/>
      <c r="BC271" s="358"/>
      <c r="BD271" s="358"/>
      <c r="BE271" s="358"/>
      <c r="BF271" s="358"/>
      <c r="BG271" s="358"/>
      <c r="BH271" s="358"/>
      <c r="BI271" s="358"/>
      <c r="BJ271" s="358"/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10" t="str">
        <f>Energia!B28</f>
        <v>ENERGISA SERGIPE - DISTRIBUIDORA DE ENERGIA S.A</v>
      </c>
      <c r="BU271" s="311" t="str">
        <f>Energia!C28</f>
        <v>A4 (2,3 a 25 kV)</v>
      </c>
      <c r="BV271" s="433">
        <f>Energia!I28</f>
        <v>0</v>
      </c>
      <c r="BW271" s="433">
        <f>Energia!F28</f>
        <v>0</v>
      </c>
      <c r="BY271" s="23">
        <f t="shared" ref="BY271:BY277" si="31">IF(BU271=0,0,1)</f>
        <v>1</v>
      </c>
      <c r="BZ271" s="680"/>
      <c r="CA271" s="358"/>
      <c r="CB271" s="358"/>
      <c r="CC271" s="358"/>
      <c r="CD271" s="358"/>
      <c r="CE271" s="358"/>
      <c r="CF271" s="358"/>
    </row>
    <row r="272" spans="2:84" ht="15" hidden="1" customHeight="1">
      <c r="B272" s="312"/>
      <c r="C272" s="312"/>
      <c r="H272" s="23"/>
      <c r="AZ272" s="358"/>
      <c r="BA272" s="358"/>
      <c r="BB272" s="358"/>
      <c r="BC272" s="358"/>
      <c r="BD272" s="358"/>
      <c r="BE272" s="358"/>
      <c r="BF272" s="358"/>
      <c r="BG272" s="358"/>
      <c r="BH272" s="358"/>
      <c r="BI272" s="358"/>
      <c r="BJ272" s="358"/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10">
        <f>Energia!B29</f>
        <v>0</v>
      </c>
      <c r="BU272" s="311">
        <f>Energia!C29</f>
        <v>0</v>
      </c>
      <c r="BV272" s="433" t="str">
        <f>Energia!I29</f>
        <v/>
      </c>
      <c r="BW272" s="433" t="str">
        <f>Energia!F29</f>
        <v/>
      </c>
      <c r="BY272" s="23">
        <f t="shared" si="31"/>
        <v>0</v>
      </c>
      <c r="BZ272" s="680"/>
    </row>
    <row r="273" spans="2:80" ht="15" hidden="1" customHeight="1">
      <c r="B273" s="312"/>
      <c r="C273" s="312"/>
      <c r="H273" s="23"/>
      <c r="AZ273" s="358"/>
      <c r="BA273" s="358"/>
      <c r="BB273" s="358"/>
      <c r="BC273" s="358"/>
      <c r="BD273" s="358"/>
      <c r="BE273" s="358"/>
      <c r="BF273" s="358"/>
      <c r="BG273" s="358"/>
      <c r="BH273" s="358"/>
      <c r="BI273" s="358"/>
      <c r="BJ273" s="358"/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10">
        <f>Energia!B30</f>
        <v>0</v>
      </c>
      <c r="BU273" s="311">
        <f>Energia!C30</f>
        <v>0</v>
      </c>
      <c r="BV273" s="433" t="str">
        <f>Energia!I30</f>
        <v/>
      </c>
      <c r="BW273" s="433" t="str">
        <f>Energia!F30</f>
        <v/>
      </c>
      <c r="BY273" s="23">
        <f t="shared" si="31"/>
        <v>0</v>
      </c>
      <c r="BZ273" s="680"/>
    </row>
    <row r="274" spans="2:80" ht="15" hidden="1" customHeight="1">
      <c r="B274" s="312"/>
      <c r="C274" s="312"/>
      <c r="H274" s="23"/>
      <c r="AZ274" s="358"/>
      <c r="BA274" s="358"/>
      <c r="BB274" s="358"/>
      <c r="BC274" s="358"/>
      <c r="BD274" s="358"/>
      <c r="BE274" s="358"/>
      <c r="BF274" s="358"/>
      <c r="BG274" s="358"/>
      <c r="BH274" s="358"/>
      <c r="BI274" s="358"/>
      <c r="BJ274" s="358"/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10">
        <f>Energia!B31</f>
        <v>0</v>
      </c>
      <c r="BU274" s="311">
        <f>Energia!C31</f>
        <v>0</v>
      </c>
      <c r="BV274" s="433" t="str">
        <f>Energia!I31</f>
        <v/>
      </c>
      <c r="BW274" s="433" t="str">
        <f>Energia!F31</f>
        <v/>
      </c>
      <c r="BY274" s="23">
        <f t="shared" si="31"/>
        <v>0</v>
      </c>
      <c r="BZ274" s="680"/>
    </row>
    <row r="275" spans="2:80" ht="15" hidden="1" customHeight="1">
      <c r="B275" s="312"/>
      <c r="C275" s="312"/>
      <c r="H275" s="23"/>
      <c r="AZ275" s="358"/>
      <c r="BA275" s="358"/>
      <c r="BB275" s="358"/>
      <c r="BC275" s="358"/>
      <c r="BD275" s="358"/>
      <c r="BE275" s="358"/>
      <c r="BF275" s="358"/>
      <c r="BG275" s="358"/>
      <c r="BH275" s="358"/>
      <c r="BI275" s="358"/>
      <c r="BJ275" s="358"/>
      <c r="BK275" s="358"/>
      <c r="BL275" s="358"/>
      <c r="BM275" s="358"/>
      <c r="BN275" s="358"/>
      <c r="BO275" s="358"/>
      <c r="BP275" s="358"/>
      <c r="BQ275" s="358"/>
      <c r="BR275" s="358"/>
      <c r="BS275" s="358"/>
      <c r="BT275" s="310">
        <f>Energia!B32</f>
        <v>0</v>
      </c>
      <c r="BU275" s="311">
        <f>Energia!C32</f>
        <v>0</v>
      </c>
      <c r="BV275" s="433" t="str">
        <f>Energia!I32</f>
        <v/>
      </c>
      <c r="BW275" s="433" t="str">
        <f>Energia!F32</f>
        <v/>
      </c>
      <c r="BY275" s="23">
        <f t="shared" si="31"/>
        <v>0</v>
      </c>
      <c r="BZ275" s="680"/>
    </row>
    <row r="276" spans="2:80" ht="15" hidden="1" customHeight="1">
      <c r="B276" s="312"/>
      <c r="C276" s="312"/>
      <c r="H276" s="23"/>
      <c r="AZ276" s="358"/>
      <c r="BA276" s="358"/>
      <c r="BB276" s="358"/>
      <c r="BC276" s="358"/>
      <c r="BD276" s="358"/>
      <c r="BE276" s="358"/>
      <c r="BF276" s="358"/>
      <c r="BG276" s="358"/>
      <c r="BH276" s="358"/>
      <c r="BI276" s="358"/>
      <c r="BJ276" s="358"/>
      <c r="BK276" s="358"/>
      <c r="BL276" s="358"/>
      <c r="BM276" s="358"/>
      <c r="BN276" s="358"/>
      <c r="BO276" s="358"/>
      <c r="BP276" s="358"/>
      <c r="BQ276" s="358"/>
      <c r="BR276" s="358"/>
      <c r="BS276" s="358"/>
      <c r="BT276" s="310">
        <f>Energia!B34</f>
        <v>0</v>
      </c>
      <c r="BU276" s="311">
        <f>Energia!C34</f>
        <v>0</v>
      </c>
      <c r="BV276" s="433" t="str">
        <f>Energia!I34</f>
        <v/>
      </c>
      <c r="BW276" s="433" t="str">
        <f>Energia!F34</f>
        <v/>
      </c>
      <c r="BY276" s="23">
        <f t="shared" si="31"/>
        <v>0</v>
      </c>
      <c r="BZ276" s="680"/>
    </row>
    <row r="277" spans="2:80" ht="15" hidden="1" customHeight="1">
      <c r="B277" s="312"/>
      <c r="C277" s="312"/>
      <c r="H277" s="23"/>
      <c r="AZ277" s="358"/>
      <c r="BA277" s="358"/>
      <c r="BB277" s="358"/>
      <c r="BC277" s="358"/>
      <c r="BD277" s="358"/>
      <c r="BE277" s="358"/>
      <c r="BF277" s="358"/>
      <c r="BG277" s="358"/>
      <c r="BH277" s="358"/>
      <c r="BI277" s="358"/>
      <c r="BJ277" s="358"/>
      <c r="BK277" s="358"/>
      <c r="BL277" s="358"/>
      <c r="BM277" s="358"/>
      <c r="BN277" s="358"/>
      <c r="BO277" s="358"/>
      <c r="BP277" s="358"/>
      <c r="BQ277" s="358"/>
      <c r="BR277" s="358"/>
      <c r="BS277" s="358"/>
      <c r="BT277" s="310" t="e">
        <f>Energia!#REF!</f>
        <v>#REF!</v>
      </c>
      <c r="BU277" s="311" t="e">
        <f>Energia!#REF!</f>
        <v>#REF!</v>
      </c>
      <c r="BV277" s="433" t="e">
        <f>Energia!#REF!</f>
        <v>#REF!</v>
      </c>
      <c r="BW277" s="433" t="e">
        <f>Energia!#REF!</f>
        <v>#REF!</v>
      </c>
      <c r="BY277" s="23" t="e">
        <f t="shared" si="31"/>
        <v>#REF!</v>
      </c>
      <c r="BZ277" s="682" t="s">
        <v>701</v>
      </c>
      <c r="CB277" s="308" t="s">
        <v>850</v>
      </c>
    </row>
    <row r="278" spans="2:80" ht="15" customHeight="1">
      <c r="B278" s="312"/>
      <c r="C278" s="312"/>
      <c r="H278" s="23"/>
      <c r="AZ278" s="358"/>
      <c r="BA278" s="358"/>
      <c r="BB278" s="358"/>
      <c r="BC278" s="358"/>
      <c r="BD278" s="358"/>
      <c r="BE278" s="358"/>
      <c r="BF278" s="358"/>
      <c r="BG278" s="358"/>
      <c r="BH278" s="358"/>
      <c r="BI278" s="358"/>
      <c r="BJ278" s="358"/>
      <c r="BK278" s="358"/>
      <c r="BL278" s="358"/>
      <c r="BM278" s="358"/>
      <c r="BN278" s="358"/>
      <c r="BO278" s="358"/>
      <c r="BP278" s="358"/>
      <c r="BQ278" s="358"/>
      <c r="BR278" s="358"/>
      <c r="BS278" s="358"/>
      <c r="BZ278" s="1267" t="s">
        <v>701</v>
      </c>
      <c r="CA278" s="1268">
        <f>SUM(CA279:CA280)</f>
        <v>-2.8500000000000001E-2</v>
      </c>
    </row>
    <row r="279" spans="2:80" ht="15" customHeight="1">
      <c r="B279" s="312"/>
      <c r="C279" s="312"/>
      <c r="H279" s="23"/>
      <c r="AZ279" s="358"/>
      <c r="BA279" s="358"/>
      <c r="BB279" s="358"/>
      <c r="BC279" s="358"/>
      <c r="BD279" s="358"/>
      <c r="BE279" s="358"/>
      <c r="BF279" s="358"/>
      <c r="BG279" s="358"/>
      <c r="BH279" s="358"/>
      <c r="BI279" s="358"/>
      <c r="BJ279" s="358"/>
      <c r="BK279" s="358"/>
      <c r="BL279" s="358"/>
      <c r="BM279" s="358"/>
      <c r="BN279" s="358"/>
      <c r="BO279" s="358"/>
      <c r="BP279" s="358"/>
      <c r="BQ279" s="358"/>
      <c r="BR279" s="358"/>
      <c r="BS279" s="358"/>
      <c r="BZ279" s="434" t="s">
        <v>949</v>
      </c>
      <c r="CA279" s="435">
        <f>CAPA!H42</f>
        <v>-8.5000000000000006E-3</v>
      </c>
    </row>
    <row r="280" spans="2:80" ht="15" customHeight="1">
      <c r="B280" s="312"/>
      <c r="C280" s="312"/>
      <c r="H280" s="23"/>
      <c r="AZ280" s="358"/>
      <c r="BA280" s="358"/>
      <c r="BB280" s="358"/>
      <c r="BC280" s="358"/>
      <c r="BD280" s="358"/>
      <c r="BE280" s="358"/>
      <c r="BF280" s="358"/>
      <c r="BG280" s="358"/>
      <c r="BH280" s="358"/>
      <c r="BI280" s="358"/>
      <c r="BJ280" s="358"/>
      <c r="BK280" s="358"/>
      <c r="BL280" s="358"/>
      <c r="BM280" s="358"/>
      <c r="BN280" s="358"/>
      <c r="BO280" s="358"/>
      <c r="BP280" s="358"/>
      <c r="BQ280" s="358"/>
      <c r="BR280" s="358"/>
      <c r="BS280" s="358"/>
      <c r="BZ280" s="1269" t="s">
        <v>950</v>
      </c>
      <c r="CA280" s="1270">
        <f>CAPA!H44</f>
        <v>-0.02</v>
      </c>
    </row>
    <row r="281" spans="2:80" ht="15" customHeight="1">
      <c r="B281" s="312"/>
      <c r="C281" s="312"/>
      <c r="H281" s="23"/>
      <c r="AZ281" s="358"/>
      <c r="BA281" s="358"/>
      <c r="BB281" s="358"/>
      <c r="BC281" s="358"/>
      <c r="BD281" s="358"/>
      <c r="BE281" s="358"/>
      <c r="BF281" s="358"/>
      <c r="BG281" s="358"/>
      <c r="BH281" s="358"/>
      <c r="BI281" s="358"/>
      <c r="BJ281" s="358"/>
      <c r="BK281" s="358"/>
      <c r="BL281" s="358"/>
      <c r="BM281" s="358"/>
      <c r="BN281" s="358"/>
      <c r="BO281" s="358"/>
      <c r="BP281" s="358"/>
      <c r="BQ281" s="358"/>
      <c r="BR281" s="358"/>
      <c r="BS281" s="358"/>
      <c r="BW281" s="311">
        <v>0</v>
      </c>
    </row>
    <row r="282" spans="2:80" ht="15" customHeight="1">
      <c r="B282" s="312"/>
      <c r="C282" s="312"/>
      <c r="H282" s="23"/>
      <c r="AZ282" s="358"/>
      <c r="BA282" s="358"/>
      <c r="BB282" s="358"/>
      <c r="BC282" s="358"/>
      <c r="BD282" s="358"/>
      <c r="BE282" s="358"/>
      <c r="BF282" s="358"/>
      <c r="BG282" s="358"/>
      <c r="BH282" s="358"/>
      <c r="BI282" s="358"/>
      <c r="BJ282" s="358"/>
      <c r="BK282" s="358"/>
      <c r="BL282" s="358"/>
      <c r="BM282" s="358"/>
      <c r="BN282" s="358"/>
      <c r="BO282" s="358"/>
      <c r="BP282" s="358"/>
      <c r="BQ282" s="358"/>
      <c r="BR282" s="358"/>
      <c r="BS282" s="358"/>
    </row>
    <row r="283" spans="2:80" ht="15" customHeight="1">
      <c r="B283" s="312"/>
      <c r="C283" s="312"/>
      <c r="H283" s="23"/>
      <c r="AZ283" s="358"/>
      <c r="BA283" s="358"/>
      <c r="BB283" s="358"/>
      <c r="BC283" s="358"/>
      <c r="BD283" s="358"/>
      <c r="BE283" s="358"/>
      <c r="BF283" s="358"/>
      <c r="BG283" s="358"/>
      <c r="BH283" s="358"/>
      <c r="BI283" s="358"/>
      <c r="BJ283" s="358"/>
      <c r="BK283" s="358"/>
      <c r="BL283" s="358"/>
      <c r="BM283" s="358"/>
      <c r="BN283" s="358"/>
      <c r="BO283" s="358"/>
      <c r="BP283" s="358"/>
      <c r="BQ283" s="358"/>
      <c r="BR283" s="358"/>
      <c r="BS283" s="358"/>
    </row>
    <row r="284" spans="2:80" ht="15" customHeight="1">
      <c r="B284" s="312"/>
      <c r="C284" s="312"/>
      <c r="H284" s="23"/>
      <c r="AZ284" s="358"/>
      <c r="BA284" s="358"/>
      <c r="BB284" s="358"/>
      <c r="BC284" s="358"/>
      <c r="BD284" s="358"/>
      <c r="BE284" s="358"/>
      <c r="BF284" s="358"/>
      <c r="BG284" s="358"/>
      <c r="BH284" s="358"/>
      <c r="BI284" s="358"/>
      <c r="BJ284" s="358"/>
      <c r="BK284" s="358"/>
      <c r="BL284" s="358"/>
      <c r="BM284" s="358"/>
      <c r="BN284" s="358"/>
      <c r="BO284" s="358"/>
      <c r="BP284" s="358"/>
      <c r="BQ284" s="358"/>
      <c r="BR284" s="358"/>
      <c r="BS284" s="358"/>
    </row>
    <row r="285" spans="2:80" ht="15" customHeight="1">
      <c r="B285" s="356"/>
      <c r="C285" s="364"/>
      <c r="H285" s="23"/>
    </row>
    <row r="286" spans="2:80" ht="15" customHeight="1">
      <c r="H286" s="23"/>
    </row>
    <row r="287" spans="2:80" ht="15" customHeight="1">
      <c r="H287" s="23"/>
    </row>
    <row r="288" spans="2:80" ht="15" customHeight="1">
      <c r="H288" s="23"/>
    </row>
    <row r="289" spans="2:8" ht="15" customHeight="1">
      <c r="B289" s="1716"/>
      <c r="C289" s="1716"/>
      <c r="H289" s="23"/>
    </row>
    <row r="290" spans="2:8" ht="15" customHeight="1">
      <c r="C290" s="24"/>
      <c r="H290" s="23"/>
    </row>
    <row r="291" spans="2:8" ht="15" customHeight="1">
      <c r="C291" s="312"/>
      <c r="H291" s="23"/>
    </row>
    <row r="292" spans="2:8" ht="15" customHeight="1">
      <c r="C292" s="25"/>
      <c r="H292" s="23"/>
    </row>
    <row r="293" spans="2:8" ht="15" customHeight="1">
      <c r="C293" s="25"/>
      <c r="H293" s="23"/>
    </row>
    <row r="294" spans="2:8" ht="15" customHeight="1">
      <c r="C294" s="25"/>
      <c r="H294" s="23"/>
    </row>
    <row r="295" spans="2:8" ht="15" customHeight="1">
      <c r="B295" s="1716"/>
      <c r="C295" s="1716"/>
      <c r="H295" s="23"/>
    </row>
    <row r="296" spans="2:8" ht="15" customHeight="1">
      <c r="B296" s="367"/>
      <c r="C296" s="368"/>
      <c r="H296" s="23"/>
    </row>
    <row r="297" spans="2:8" ht="15" customHeight="1">
      <c r="C297" s="312"/>
      <c r="H297" s="23"/>
    </row>
    <row r="298" spans="2:8" ht="15" customHeight="1">
      <c r="C298" s="312"/>
      <c r="H298" s="23"/>
    </row>
    <row r="299" spans="2:8" ht="15" customHeight="1">
      <c r="C299" s="312"/>
      <c r="H299" s="23"/>
    </row>
    <row r="300" spans="2:8" ht="15" customHeight="1">
      <c r="C300" s="312"/>
      <c r="H300" s="23"/>
    </row>
    <row r="301" spans="2:8" ht="15" customHeight="1">
      <c r="B301" s="367"/>
      <c r="C301" s="26"/>
      <c r="H301" s="23"/>
    </row>
    <row r="302" spans="2:8" ht="15" customHeight="1">
      <c r="B302" s="367"/>
      <c r="C302" s="26"/>
      <c r="H302" s="23"/>
    </row>
    <row r="303" spans="2:8" ht="15" customHeight="1">
      <c r="B303" s="367"/>
      <c r="C303" s="368"/>
      <c r="H303" s="23"/>
    </row>
    <row r="304" spans="2:8" ht="15" customHeight="1">
      <c r="B304" s="1716"/>
      <c r="C304" s="1716"/>
      <c r="H304" s="23"/>
    </row>
    <row r="305" spans="2:8" ht="15" customHeight="1">
      <c r="C305" s="26"/>
      <c r="H305" s="23"/>
    </row>
    <row r="306" spans="2:8" ht="15" customHeight="1">
      <c r="C306" s="26"/>
      <c r="H306" s="23"/>
    </row>
    <row r="307" spans="2:8" ht="15" customHeight="1">
      <c r="C307" s="315"/>
      <c r="H307" s="23"/>
    </row>
    <row r="308" spans="2:8" ht="15" customHeight="1">
      <c r="C308" s="26"/>
      <c r="H308" s="23"/>
    </row>
    <row r="309" spans="2:8" ht="15" customHeight="1">
      <c r="C309" s="26"/>
      <c r="H309" s="23"/>
    </row>
    <row r="310" spans="2:8" ht="15" customHeight="1">
      <c r="C310" s="26"/>
      <c r="H310" s="23"/>
    </row>
    <row r="311" spans="2:8" ht="15" customHeight="1">
      <c r="B311" s="367"/>
      <c r="C311" s="26"/>
      <c r="H311" s="23"/>
    </row>
    <row r="312" spans="2:8" ht="15" customHeight="1">
      <c r="B312" s="367"/>
      <c r="C312" s="26"/>
      <c r="H312" s="23"/>
    </row>
    <row r="313" spans="2:8" ht="15" customHeight="1">
      <c r="H313" s="23"/>
    </row>
    <row r="314" spans="2:8" ht="15" customHeight="1">
      <c r="H314" s="23"/>
    </row>
    <row r="315" spans="2:8" ht="15" customHeight="1">
      <c r="H315" s="23"/>
    </row>
    <row r="316" spans="2:8" ht="15" customHeight="1">
      <c r="H316" s="23"/>
    </row>
    <row r="317" spans="2:8" ht="30" customHeight="1">
      <c r="B317" s="370"/>
      <c r="C317" s="371"/>
      <c r="H317" s="23"/>
    </row>
    <row r="318" spans="2:8" ht="15" customHeight="1">
      <c r="B318" s="372"/>
      <c r="C318" s="27"/>
      <c r="H318" s="23"/>
    </row>
    <row r="319" spans="2:8" ht="15" customHeight="1">
      <c r="B319" s="372"/>
      <c r="C319" s="27"/>
      <c r="H319" s="23"/>
    </row>
    <row r="320" spans="2:8" ht="15" customHeight="1">
      <c r="B320" s="372"/>
      <c r="C320" s="27"/>
      <c r="H320" s="23"/>
    </row>
    <row r="321" spans="2:8" ht="15" customHeight="1">
      <c r="B321" s="372"/>
      <c r="C321" s="27"/>
      <c r="H321" s="23"/>
    </row>
    <row r="322" spans="2:8" ht="15" customHeight="1">
      <c r="B322" s="372"/>
      <c r="C322" s="373"/>
      <c r="H322" s="23"/>
    </row>
    <row r="323" spans="2:8" ht="15" customHeight="1">
      <c r="B323" s="372"/>
      <c r="C323" s="27"/>
      <c r="H323" s="23"/>
    </row>
    <row r="324" spans="2:8" ht="15" customHeight="1">
      <c r="B324" s="372"/>
      <c r="C324" s="373"/>
      <c r="H324" s="23"/>
    </row>
    <row r="350" ht="31.5" customHeight="1"/>
    <row r="351" ht="15.75" customHeight="1"/>
    <row r="361" spans="72:74" ht="15" customHeight="1">
      <c r="BT361" s="431"/>
      <c r="BU361" s="432"/>
      <c r="BV361" s="432"/>
    </row>
    <row r="362" spans="72:74" ht="15" customHeight="1">
      <c r="BT362" s="431"/>
      <c r="BU362" s="432"/>
      <c r="BV362" s="432"/>
    </row>
    <row r="363" spans="72:74" ht="15" customHeight="1">
      <c r="BT363" s="431"/>
      <c r="BU363" s="432"/>
      <c r="BV363" s="432"/>
    </row>
    <row r="364" spans="72:74" ht="15" customHeight="1">
      <c r="BT364" s="431"/>
      <c r="BU364" s="432"/>
      <c r="BV364" s="432"/>
    </row>
    <row r="365" spans="72:74" ht="15" customHeight="1">
      <c r="BT365" s="431"/>
      <c r="BU365" s="432"/>
      <c r="BV365" s="432"/>
    </row>
    <row r="366" spans="72:74" ht="15" customHeight="1">
      <c r="BT366" s="431"/>
      <c r="BU366" s="432"/>
      <c r="BV366" s="432"/>
    </row>
  </sheetData>
  <mergeCells count="31">
    <mergeCell ref="B304:C304"/>
    <mergeCell ref="B289:C289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39:AV239"/>
    <mergeCell ref="S20:T20"/>
    <mergeCell ref="L51:N51"/>
    <mergeCell ref="B295:C295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conditionalFormatting sqref="AN177:AN182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186" location="'Tabelas e Gráficos'!A1" display="Voltar" xr:uid="{00000000-0004-0000-0300-00000A000000}"/>
    <hyperlink ref="AX192" location="'Tabelas e Gráficos'!A1" display="Voltar" xr:uid="{00000000-0004-0000-0300-00000B000000}"/>
    <hyperlink ref="BI240" location="'Tabelas e Gráficos '!A1" display="Voltar" xr:uid="{00000000-0004-0000-0300-00000C000000}"/>
    <hyperlink ref="BM249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40" location="'Tabelas e Gráficos'!A1" display="Voltar" xr:uid="{00000000-0004-0000-0300-00001D000000}"/>
    <hyperlink ref="B19" location="'Tabelas e Gráficos'!BT256" display="Descontos na TE" xr:uid="{00000000-0004-0000-0300-00001E000000}"/>
    <hyperlink ref="BR259" location="'Tabelas e Gráficos'!A1" display="Voltar" xr:uid="{00000000-0004-0000-0300-00001F000000}"/>
    <hyperlink ref="BW261" location="'Tabelas e Gráficos'!A1" display="Voltar" xr:uid="{00000000-0004-0000-0300-000020000000}"/>
    <hyperlink ref="CB277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195:AX196 AX220:AX222 AS218:AT218 AV218 AX218 AS237:AV237 AX223 AX219 AB142 AS217:AT217 AV217:AX217 AX224 AX225:AX226 AS235:AT235 AX235 AV235 AS209:AX209 AS207:AU207 AW207:AX207 AS208:AU208 AW208:AX208 AS241 AS239:AV239 AT238 AX238 AS200:AU200 AS198:AT198 AX198 AS194 AU194:AV194 AS214:AX216 AS213 AU213:AX213 AS212:AV212 AS211:AT211 AV211:AX211 AX212 AX194 AS236:AV236 AX236 AX237 AS197:AV197 AX197 AS202:AX203 AS201:AV201 AX201 AS206:AV206 AS204:AV204 AX204 AS205:AV205 AX205 AX206 AS210:AV210 AX210 K84 AT199 AW199:AX199 AV198 AW204:AW206 AW200:AX200 AX239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topLeftCell="A7" workbookViewId="0">
      <selection activeCell="C43" sqref="C43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5.85546875" style="95" bestFit="1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5.425781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61" t="s">
        <v>951</v>
      </c>
      <c r="C1" s="1158"/>
      <c r="D1" s="1062"/>
      <c r="E1" s="1062"/>
      <c r="F1" s="1062"/>
      <c r="G1" s="1271" t="s">
        <v>952</v>
      </c>
      <c r="H1" s="1272">
        <f ca="1">LnkTXTIRTEco</f>
        <v>0.21260000000000001</v>
      </c>
      <c r="I1" s="70"/>
      <c r="J1" s="70"/>
      <c r="P1" s="1273" t="s">
        <v>953</v>
      </c>
      <c r="Q1" s="1274"/>
      <c r="S1" s="1275" t="s">
        <v>954</v>
      </c>
      <c r="T1" s="1274" t="s">
        <v>955</v>
      </c>
      <c r="W1" s="1273" t="s">
        <v>954</v>
      </c>
      <c r="X1" s="1274" t="s">
        <v>955</v>
      </c>
    </row>
    <row r="2" spans="2:24" ht="14.25">
      <c r="B2" s="138" t="str">
        <f>CAPA!C9</f>
        <v>Cercos</v>
      </c>
      <c r="C2" s="70"/>
      <c r="D2" s="70"/>
      <c r="G2" s="121" t="s">
        <v>956</v>
      </c>
      <c r="H2" s="122">
        <f ca="1">LnkTXTIRTTotal</f>
        <v>8.3900000000000002E-2</v>
      </c>
      <c r="P2" s="1276">
        <f>DATE(YEAR(P4),MONTH(P4)-1,1)</f>
        <v>44317</v>
      </c>
      <c r="Q2" s="692"/>
      <c r="S2" s="691" t="s">
        <v>957</v>
      </c>
      <c r="T2" s="692" t="s">
        <v>958</v>
      </c>
      <c r="W2" s="691" t="s">
        <v>959</v>
      </c>
      <c r="X2" s="692" t="s">
        <v>958</v>
      </c>
    </row>
    <row r="3" spans="2:24" ht="14.25">
      <c r="P3" s="1273" t="s">
        <v>953</v>
      </c>
      <c r="Q3" s="1274"/>
      <c r="S3" s="1275" t="s">
        <v>954</v>
      </c>
      <c r="T3" s="1274" t="s">
        <v>955</v>
      </c>
      <c r="W3" s="1273" t="s">
        <v>954</v>
      </c>
      <c r="X3" s="1274" t="s">
        <v>955</v>
      </c>
    </row>
    <row r="4" spans="2:24" ht="14.25">
      <c r="P4" s="1276">
        <f>DATE(YEAR(P6),MONTH(P6)-1,1)</f>
        <v>44348</v>
      </c>
      <c r="Q4" s="692"/>
      <c r="S4" s="691" t="s">
        <v>601</v>
      </c>
      <c r="T4" s="692" t="s">
        <v>958</v>
      </c>
      <c r="W4" s="691" t="s">
        <v>959</v>
      </c>
      <c r="X4" s="692" t="s">
        <v>958</v>
      </c>
    </row>
    <row r="5" spans="2:24" ht="14.25">
      <c r="P5" s="1273" t="s">
        <v>953</v>
      </c>
      <c r="Q5" s="1274"/>
      <c r="S5" s="1273" t="s">
        <v>954</v>
      </c>
      <c r="T5" s="1274" t="s">
        <v>955</v>
      </c>
      <c r="V5" s="96"/>
      <c r="W5" s="1273" t="s">
        <v>954</v>
      </c>
      <c r="X5" s="1274" t="s">
        <v>955</v>
      </c>
    </row>
    <row r="6" spans="2:24" ht="14.25">
      <c r="B6" s="112" t="s">
        <v>960</v>
      </c>
      <c r="F6" s="112" t="s">
        <v>961</v>
      </c>
      <c r="I6" s="112" t="s">
        <v>962</v>
      </c>
      <c r="P6" s="1276">
        <f>DATE(YEAR(P8),MONTH(P8)-1,1)</f>
        <v>44378</v>
      </c>
      <c r="Q6" s="692"/>
      <c r="S6" s="691" t="str">
        <f>"=A3"</f>
        <v>=A3</v>
      </c>
      <c r="T6" s="692" t="s">
        <v>958</v>
      </c>
      <c r="W6" s="691" t="s">
        <v>959</v>
      </c>
      <c r="X6" s="692" t="s">
        <v>958</v>
      </c>
    </row>
    <row r="7" spans="2:24" ht="14.25">
      <c r="B7" s="1277" t="s">
        <v>855</v>
      </c>
      <c r="C7" s="1277" t="s">
        <v>120</v>
      </c>
      <c r="D7" s="1277" t="s">
        <v>963</v>
      </c>
      <c r="E7" s="97"/>
      <c r="F7" s="1277" t="s">
        <v>855</v>
      </c>
      <c r="G7" s="1277" t="s">
        <v>963</v>
      </c>
      <c r="I7" s="1278" t="s">
        <v>855</v>
      </c>
      <c r="J7" s="1278" t="s">
        <v>964</v>
      </c>
      <c r="L7" s="429" t="s">
        <v>965</v>
      </c>
      <c r="M7" s="429"/>
      <c r="N7" s="429" t="s">
        <v>802</v>
      </c>
      <c r="P7" s="1273" t="s">
        <v>953</v>
      </c>
      <c r="Q7" s="1274"/>
      <c r="S7" s="1273" t="s">
        <v>954</v>
      </c>
      <c r="T7" s="1274" t="s">
        <v>955</v>
      </c>
      <c r="W7" s="1273" t="s">
        <v>954</v>
      </c>
      <c r="X7" s="1274" t="s">
        <v>955</v>
      </c>
    </row>
    <row r="8" spans="2:24" ht="14.25">
      <c r="B8" s="1279" t="s">
        <v>966</v>
      </c>
      <c r="C8" s="1280">
        <f ca="1">SUM(C9:C15)</f>
        <v>11220.683000000005</v>
      </c>
      <c r="D8" s="1281">
        <f ca="1">SUM(D9:D15)</f>
        <v>8669186.6415299959</v>
      </c>
      <c r="E8" s="97"/>
      <c r="F8" s="97" t="s">
        <v>967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1.6220382505345032E-2</v>
      </c>
      <c r="L8" s="1282" t="s">
        <v>968</v>
      </c>
      <c r="M8" s="1283"/>
      <c r="N8" s="1284">
        <f>DSUM('BD MERCADO'!A2:AAA999998,"Total",S27:S28)</f>
        <v>4135815.46245</v>
      </c>
      <c r="P8" s="1276">
        <f>DATE(YEAR(P10),MONTH(P10)-1,1)</f>
        <v>44409</v>
      </c>
      <c r="Q8" s="692"/>
      <c r="S8" s="691" t="str">
        <f>"=A3a"</f>
        <v>=A3a</v>
      </c>
      <c r="T8" s="692" t="s">
        <v>958</v>
      </c>
      <c r="W8" s="691" t="s">
        <v>959</v>
      </c>
      <c r="X8" s="692" t="s">
        <v>958</v>
      </c>
    </row>
    <row r="9" spans="2:24" ht="14.25">
      <c r="B9" s="113" t="s">
        <v>957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85" t="s">
        <v>832</v>
      </c>
      <c r="J9" s="1286">
        <f ca="1">SUM(INDIRECT("dados_MercadoBase[[PisPasep]:[Cofins]]"))/SUM(INDIRECT("dados_MercadoBase[[PisPasep]:[ICMS]]"),INDIRECT("dados_MercadoBase[FinTotAj]"))</f>
        <v>2.9543928527135457E-3</v>
      </c>
      <c r="L9" s="97" t="s">
        <v>969</v>
      </c>
      <c r="M9" s="428"/>
      <c r="N9" s="116">
        <f>DSUM('BD MERCADO'!A2:AAA999998,"Total",S29:S30)</f>
        <v>175575.99909999996</v>
      </c>
      <c r="P9" s="1273" t="s">
        <v>953</v>
      </c>
      <c r="Q9" s="1274"/>
      <c r="S9" s="1273" t="s">
        <v>954</v>
      </c>
      <c r="T9" s="1274" t="s">
        <v>955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970</v>
      </c>
      <c r="G10" s="116">
        <f t="shared" ca="1" si="0"/>
        <v>0</v>
      </c>
      <c r="L10" s="97" t="s">
        <v>971</v>
      </c>
      <c r="M10" s="428"/>
      <c r="N10" s="116">
        <f>DSUM('BD MERCADO'!A2:AAA999998,"Total",S31:S32)</f>
        <v>673172.19143999997</v>
      </c>
      <c r="P10" s="1276">
        <f>DATE(YEAR(P12),MONTH(P12)-1,1)</f>
        <v>44440</v>
      </c>
      <c r="Q10" s="692"/>
      <c r="S10" s="691" t="s">
        <v>596</v>
      </c>
      <c r="T10" s="692" t="s">
        <v>958</v>
      </c>
      <c r="U10" s="95" t="s">
        <v>972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81589.364739786804</v>
      </c>
      <c r="L11" s="97" t="s">
        <v>973</v>
      </c>
      <c r="M11" s="428"/>
      <c r="N11" s="116">
        <f>DSUM('BD MERCADO'!A2:AAA999998,"Total",S33:S34)</f>
        <v>2152437.36106</v>
      </c>
      <c r="P11" s="1273" t="s">
        <v>953</v>
      </c>
      <c r="Q11" s="1274"/>
      <c r="S11" s="1273" t="s">
        <v>954</v>
      </c>
      <c r="T11" s="1274" t="s">
        <v>955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198831.46699689497</v>
      </c>
      <c r="I12" s="112" t="s">
        <v>974</v>
      </c>
      <c r="L12" s="97" t="s">
        <v>975</v>
      </c>
      <c r="M12" s="428"/>
      <c r="N12" s="116">
        <f>DSUM('BD MERCADO'!A2:AAA999998,"Total",S35:S36)</f>
        <v>701666.21028000012</v>
      </c>
      <c r="P12" s="1276">
        <f>DATE(YEAR(P14),MONTH(P14)-1,1)</f>
        <v>44470</v>
      </c>
      <c r="Q12" s="692"/>
      <c r="S12" s="691" t="s">
        <v>976</v>
      </c>
      <c r="T12" s="692" t="s">
        <v>958</v>
      </c>
      <c r="X12" s="98"/>
    </row>
    <row r="13" spans="2:24" ht="14.25">
      <c r="B13" s="113" t="s">
        <v>596</v>
      </c>
      <c r="C13" s="99">
        <f t="shared" ca="1" si="2"/>
        <v>312.81800000000004</v>
      </c>
      <c r="D13" s="114">
        <f t="shared" ca="1" si="1"/>
        <v>169934.39389999997</v>
      </c>
      <c r="E13" s="97"/>
      <c r="F13" s="97" t="s">
        <v>40</v>
      </c>
      <c r="G13" s="116">
        <f t="shared" ca="1" si="0"/>
        <v>17767.951796684076</v>
      </c>
      <c r="I13" s="1278" t="s">
        <v>855</v>
      </c>
      <c r="J13" s="1278" t="s">
        <v>977</v>
      </c>
      <c r="L13" s="97" t="s">
        <v>978</v>
      </c>
      <c r="M13" s="428"/>
      <c r="N13" s="116">
        <f>DSUM('BD MERCADO'!A2:AAA999998,"Total",S37:S38)</f>
        <v>168269.93039999998</v>
      </c>
      <c r="P13" s="1273" t="s">
        <v>953</v>
      </c>
      <c r="Q13" s="1274"/>
      <c r="S13" s="1273" t="s">
        <v>954</v>
      </c>
      <c r="T13" s="1274" t="s">
        <v>955</v>
      </c>
      <c r="X13" s="98"/>
    </row>
    <row r="14" spans="2:24" ht="14.25">
      <c r="B14" s="113" t="s">
        <v>979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87" t="s">
        <v>980</v>
      </c>
      <c r="J14" s="1288">
        <f>CAPA!D41</f>
        <v>10718.416000000001</v>
      </c>
      <c r="L14" s="97" t="s">
        <v>981</v>
      </c>
      <c r="M14" s="428"/>
      <c r="N14" s="116">
        <f>DSUM('BD MERCADO'!A2:AAA999998,"Total",S39:S40)</f>
        <v>630627.75599999994</v>
      </c>
      <c r="P14" s="1276">
        <f>DATE(YEAR(P16),MONTH(P16)-1,1)</f>
        <v>44501</v>
      </c>
      <c r="Q14" s="692"/>
      <c r="S14" s="691" t="s">
        <v>959</v>
      </c>
      <c r="T14" s="692" t="s">
        <v>958</v>
      </c>
      <c r="X14" s="98"/>
    </row>
    <row r="15" spans="2:24" ht="14.25">
      <c r="B15" s="113" t="s">
        <v>603</v>
      </c>
      <c r="C15" s="99">
        <f t="shared" ca="1" si="2"/>
        <v>10907.865000000005</v>
      </c>
      <c r="D15" s="114">
        <f t="shared" ca="1" si="1"/>
        <v>8499252.2476299964</v>
      </c>
      <c r="E15" s="97"/>
      <c r="F15" s="97" t="s">
        <v>120</v>
      </c>
      <c r="G15" s="116">
        <f ca="1">SUM(C79:C84)</f>
        <v>2906482.5731358528</v>
      </c>
      <c r="I15" s="1289" t="s">
        <v>910</v>
      </c>
      <c r="J15" s="1290">
        <f ca="1">IFERROR(Mercado_RA0_MWh/J14-1,0)</f>
        <v>4.6860189042858824E-2</v>
      </c>
      <c r="L15" s="1291" t="s">
        <v>982</v>
      </c>
      <c r="M15" s="1292"/>
      <c r="N15" s="1293">
        <f ca="1">D25-SUM(N8:N14)</f>
        <v>31621.730799995363</v>
      </c>
      <c r="P15" s="1273" t="s">
        <v>953</v>
      </c>
      <c r="Q15" s="1274"/>
      <c r="S15" s="1273" t="s">
        <v>983</v>
      </c>
      <c r="T15" s="1274" t="s">
        <v>955</v>
      </c>
      <c r="X15" s="98"/>
    </row>
    <row r="16" spans="2:24" ht="14.25">
      <c r="B16" s="1279" t="s">
        <v>984</v>
      </c>
      <c r="C16" s="1294">
        <f ca="1">DSUM(MercadoBase,"TUSD_E",INDIRECT("Mercado_CriterioResBr"))</f>
        <v>2504.2890000000011</v>
      </c>
      <c r="D16" s="1295">
        <f ca="1">DSUM(MercadoBase,"Total",INDIRECT("Mercado_CriterioResBr"))</f>
        <v>2016829.1461500002</v>
      </c>
      <c r="E16" s="97"/>
      <c r="F16" s="97" t="s">
        <v>985</v>
      </c>
      <c r="G16" s="116">
        <f ca="1">SUM(C87:C97)</f>
        <v>5464476.5161572341</v>
      </c>
      <c r="P16" s="1276">
        <f>DATE(YEAR(P18),MONTH(P18)-1,1)</f>
        <v>44531</v>
      </c>
      <c r="Q16" s="692"/>
      <c r="S16" s="691" t="s">
        <v>986</v>
      </c>
      <c r="T16" s="692" t="s">
        <v>958</v>
      </c>
      <c r="X16" s="98"/>
    </row>
    <row r="17" spans="2:24" ht="14.25">
      <c r="B17" s="1279" t="s">
        <v>987</v>
      </c>
      <c r="C17" s="1294">
        <f ca="1">DSUM(MercadoBase,"TUSD_E",INDIRECT("Mercado_Criterio"&amp;$B17))</f>
        <v>0</v>
      </c>
      <c r="D17" s="1295">
        <f ca="1">DSUM(MercadoBase,"Total",INDIRECT("Mercado_Criterio"&amp;$B17))</f>
        <v>0</v>
      </c>
      <c r="E17" s="97"/>
      <c r="F17" s="1296" t="s">
        <v>837</v>
      </c>
      <c r="G17" s="1297">
        <f ca="1">SUM(G8:G16)</f>
        <v>8669147.8728264533</v>
      </c>
      <c r="I17" s="228" t="str">
        <f>"Dado referente à "&amp;TEXT(P20,"mmmm/aaaa")</f>
        <v>Dado referente à fevereiro/2022</v>
      </c>
      <c r="L17" s="79"/>
      <c r="P17" s="1273" t="s">
        <v>953</v>
      </c>
      <c r="Q17" s="1274"/>
      <c r="S17" s="1273" t="s">
        <v>955</v>
      </c>
      <c r="T17" s="1274"/>
      <c r="X17" s="98"/>
    </row>
    <row r="18" spans="2:24" ht="14.25">
      <c r="B18" s="1279" t="s">
        <v>988</v>
      </c>
      <c r="C18" s="1294">
        <f ca="1">DSUM(MercadoBase,"TUSD_E",INDIRECT("Mercado_Criterio"&amp;$B18))</f>
        <v>0</v>
      </c>
      <c r="D18" s="1295">
        <f ca="1">DSUM(MercadoBase,"Total",INDIRECT("Mercado_Criterio"&amp;$B18))</f>
        <v>0</v>
      </c>
      <c r="E18" s="97"/>
      <c r="I18" s="1298" t="s">
        <v>989</v>
      </c>
      <c r="J18" s="1299">
        <f>DSUM('BD MERCADO'!B2:BU724,"UC",C101:C102)</f>
        <v>6235</v>
      </c>
      <c r="L18" s="79"/>
      <c r="P18" s="1276">
        <f>DATE(YEAR(P20),MONTH(P20)-1,1)</f>
        <v>44562</v>
      </c>
      <c r="Q18" s="692"/>
      <c r="S18" s="691" t="s">
        <v>867</v>
      </c>
      <c r="T18" s="692"/>
      <c r="X18" s="98"/>
    </row>
    <row r="19" spans="2:24" ht="14.25">
      <c r="B19" s="115" t="s">
        <v>990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73" t="s">
        <v>953</v>
      </c>
      <c r="Q19" s="1274"/>
      <c r="S19" s="1273" t="s">
        <v>955</v>
      </c>
      <c r="T19" s="1274" t="s">
        <v>954</v>
      </c>
      <c r="X19" s="98"/>
    </row>
    <row r="20" spans="2:24" ht="14.25">
      <c r="B20" s="115" t="s">
        <v>991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76">
        <f>DATE(YEAR(P22),MONTH(P22)-1,1)</f>
        <v>44593</v>
      </c>
      <c r="Q20" s="692"/>
      <c r="S20" s="691" t="s">
        <v>988</v>
      </c>
      <c r="T20" s="692" t="s">
        <v>957</v>
      </c>
    </row>
    <row r="21" spans="2:24" ht="14.25">
      <c r="B21" s="115" t="s">
        <v>992</v>
      </c>
      <c r="C21" s="99"/>
      <c r="D21" s="114">
        <f ca="1">DSUM(MercadoBase,"Total",INDIRECT("Mercado_Criterio"&amp;$B21))</f>
        <v>0</v>
      </c>
      <c r="E21" s="633"/>
      <c r="F21" s="634"/>
      <c r="G21" s="632"/>
      <c r="L21" s="79"/>
      <c r="P21" s="1273" t="s">
        <v>953</v>
      </c>
      <c r="Q21" s="1274"/>
      <c r="S21" s="1273" t="s">
        <v>955</v>
      </c>
      <c r="T21" s="1274"/>
    </row>
    <row r="22" spans="2:24" ht="14.25">
      <c r="B22" s="115" t="s">
        <v>993</v>
      </c>
      <c r="C22" s="99">
        <f ca="1">C18-C19</f>
        <v>0</v>
      </c>
      <c r="D22" s="114">
        <f ca="1">D18-D19</f>
        <v>0</v>
      </c>
      <c r="F22" s="635"/>
      <c r="G22" s="636"/>
      <c r="L22" s="79"/>
      <c r="M22" s="101"/>
      <c r="N22" s="98"/>
      <c r="O22" s="98"/>
      <c r="P22" s="1276">
        <f>DATE(YEAR(P24),MONTH(P24)-1,1)</f>
        <v>44621</v>
      </c>
      <c r="Q22" s="692"/>
      <c r="S22" s="691" t="s">
        <v>829</v>
      </c>
      <c r="T22" s="692"/>
      <c r="X22" s="98"/>
    </row>
    <row r="23" spans="2:24" ht="14.25">
      <c r="B23" s="1279" t="s">
        <v>994</v>
      </c>
      <c r="C23" s="1294">
        <v>0</v>
      </c>
      <c r="D23" s="1295">
        <v>0</v>
      </c>
      <c r="E23" s="633"/>
      <c r="F23" s="635"/>
      <c r="G23" s="636"/>
      <c r="L23" s="79"/>
      <c r="M23" s="101"/>
      <c r="N23" s="98"/>
      <c r="O23" s="98"/>
      <c r="P23" s="1273" t="s">
        <v>953</v>
      </c>
      <c r="Q23" s="1274"/>
      <c r="S23" s="1273" t="s">
        <v>955</v>
      </c>
      <c r="T23" s="1274"/>
      <c r="X23" s="98"/>
    </row>
    <row r="24" spans="2:24" ht="14.25">
      <c r="B24" s="1279" t="s">
        <v>995</v>
      </c>
      <c r="C24" s="1300"/>
      <c r="D24" s="1301"/>
      <c r="E24" s="633"/>
      <c r="F24" s="635"/>
      <c r="G24" s="636"/>
      <c r="L24" s="79"/>
      <c r="P24" s="1276">
        <f>SAS_RA0_DataFim</f>
        <v>44652</v>
      </c>
      <c r="Q24" s="692"/>
      <c r="S24" s="691" t="s">
        <v>992</v>
      </c>
      <c r="T24" s="692"/>
      <c r="X24" s="98"/>
    </row>
    <row r="25" spans="2:24" ht="14.25">
      <c r="B25" s="1302" t="s">
        <v>837</v>
      </c>
      <c r="C25" s="1303">
        <f ca="1">C18+C8+C24+C20+C21+SuprimentoE</f>
        <v>11220.683000000005</v>
      </c>
      <c r="D25" s="1304">
        <f ca="1">D18+D8+D24+D20+D21+D17</f>
        <v>8669186.6415299959</v>
      </c>
      <c r="E25" s="633"/>
      <c r="N25" s="69">
        <f>SUMIFS('BD MERCADO'!$P$3:$P$6000,'BD MERCADO'!$D$3:$D$6000,"A4",'BD MERCADO'!$I$3:$I$6000,U10)</f>
        <v>2.2919999999999998</v>
      </c>
      <c r="S25" s="102" t="s">
        <v>955</v>
      </c>
      <c r="T25" s="103"/>
      <c r="X25" s="98"/>
    </row>
    <row r="26" spans="2:24" ht="14.25">
      <c r="F26" s="635"/>
      <c r="G26" s="636"/>
      <c r="S26" s="691" t="s">
        <v>996</v>
      </c>
      <c r="T26" s="692"/>
      <c r="X26" s="98"/>
    </row>
    <row r="27" spans="2:24" ht="14.25">
      <c r="F27" s="635"/>
      <c r="G27" s="636"/>
      <c r="I27" s="98"/>
      <c r="S27" s="1305" t="s">
        <v>587</v>
      </c>
      <c r="T27" s="1306"/>
      <c r="X27" s="98"/>
    </row>
    <row r="28" spans="2:24" ht="14.25">
      <c r="F28" s="228"/>
      <c r="G28" s="637"/>
      <c r="I28" s="98"/>
      <c r="S28" s="1307" t="s">
        <v>968</v>
      </c>
      <c r="T28" s="1308"/>
      <c r="X28" s="98"/>
    </row>
    <row r="29" spans="2:24" ht="14.25">
      <c r="I29" s="98"/>
      <c r="S29" s="1305" t="s">
        <v>587</v>
      </c>
      <c r="T29" s="1306"/>
    </row>
    <row r="30" spans="2:24" ht="14.25">
      <c r="I30" s="98"/>
      <c r="S30" s="1307" t="s">
        <v>969</v>
      </c>
      <c r="T30" s="1308"/>
    </row>
    <row r="31" spans="2:24" ht="16.5">
      <c r="B31"/>
      <c r="C31"/>
      <c r="H31" s="98"/>
      <c r="I31" s="98"/>
      <c r="S31" s="1305" t="s">
        <v>587</v>
      </c>
      <c r="T31" s="1306"/>
      <c r="X31" s="98"/>
    </row>
    <row r="32" spans="2:24" ht="14.25">
      <c r="H32" s="98"/>
      <c r="I32" s="98"/>
      <c r="S32" s="1307" t="s">
        <v>997</v>
      </c>
      <c r="T32" s="1308"/>
      <c r="X32" s="98"/>
    </row>
    <row r="33" spans="2:24" ht="16.5">
      <c r="B33" s="1675" t="s">
        <v>998</v>
      </c>
      <c r="C33" s="68" t="s">
        <v>999</v>
      </c>
      <c r="D33"/>
      <c r="S33" s="1305" t="s">
        <v>587</v>
      </c>
      <c r="T33" s="1306"/>
      <c r="X33" s="98"/>
    </row>
    <row r="34" spans="2:24" ht="16.5">
      <c r="B34" s="1676">
        <v>44317</v>
      </c>
      <c r="C34" s="93">
        <v>913.11200000000008</v>
      </c>
      <c r="D34"/>
      <c r="S34" s="1307" t="s">
        <v>973</v>
      </c>
      <c r="T34" s="1308"/>
      <c r="X34" s="98"/>
    </row>
    <row r="35" spans="2:24" ht="16.5">
      <c r="B35" s="1676">
        <v>44348</v>
      </c>
      <c r="C35" s="93">
        <v>877.42</v>
      </c>
      <c r="D35"/>
      <c r="S35" s="1305" t="s">
        <v>587</v>
      </c>
      <c r="T35" s="1306"/>
    </row>
    <row r="36" spans="2:24" ht="16.5">
      <c r="B36" s="1676">
        <v>44378</v>
      </c>
      <c r="C36" s="93">
        <v>854.50400000000036</v>
      </c>
      <c r="D36"/>
      <c r="M36" s="98"/>
      <c r="S36" s="1307" t="s">
        <v>975</v>
      </c>
      <c r="T36" s="1308"/>
    </row>
    <row r="37" spans="2:24" ht="16.5">
      <c r="B37" s="1676">
        <v>44409</v>
      </c>
      <c r="C37" s="93">
        <v>850.29</v>
      </c>
      <c r="D37"/>
      <c r="M37" s="98"/>
      <c r="S37" s="1305" t="s">
        <v>587</v>
      </c>
      <c r="T37" s="1306"/>
    </row>
    <row r="38" spans="2:24" ht="16.5">
      <c r="B38" s="1676">
        <v>44440</v>
      </c>
      <c r="C38" s="93">
        <v>886.76499999999987</v>
      </c>
      <c r="D38"/>
      <c r="M38" s="98"/>
      <c r="S38" s="1307" t="s">
        <v>978</v>
      </c>
      <c r="T38" s="1308"/>
    </row>
    <row r="39" spans="2:24" ht="16.5">
      <c r="B39" s="1676">
        <v>44470</v>
      </c>
      <c r="C39" s="93">
        <v>901.14100000000008</v>
      </c>
      <c r="D39"/>
      <c r="S39" s="1305" t="s">
        <v>587</v>
      </c>
      <c r="T39" s="1306"/>
    </row>
    <row r="40" spans="2:24" ht="16.5">
      <c r="B40" s="1676">
        <v>44501</v>
      </c>
      <c r="C40" s="93">
        <v>1037.635</v>
      </c>
      <c r="D40"/>
      <c r="S40" s="1307" t="s">
        <v>1000</v>
      </c>
      <c r="T40" s="1308"/>
    </row>
    <row r="41" spans="2:24" ht="16.5">
      <c r="B41" s="1676">
        <v>44531</v>
      </c>
      <c r="C41" s="93">
        <v>990.6600000000002</v>
      </c>
      <c r="D41"/>
      <c r="N41" s="98"/>
      <c r="O41" s="98"/>
      <c r="P41" s="98"/>
      <c r="Q41" s="98"/>
      <c r="R41" s="98"/>
      <c r="S41" s="1305" t="s">
        <v>587</v>
      </c>
      <c r="T41" s="1306"/>
    </row>
    <row r="42" spans="2:24" ht="16.5">
      <c r="B42" s="1676">
        <v>44562</v>
      </c>
      <c r="C42" s="93">
        <v>962.83799999999997</v>
      </c>
      <c r="D42"/>
      <c r="N42" s="98"/>
      <c r="O42" s="98"/>
      <c r="P42" s="98"/>
      <c r="Q42" s="98"/>
      <c r="R42" s="98"/>
      <c r="S42" s="1307" t="s">
        <v>1001</v>
      </c>
      <c r="T42" s="1308"/>
    </row>
    <row r="43" spans="2:24" ht="16.5">
      <c r="B43" s="1676">
        <v>44593</v>
      </c>
      <c r="C43" s="93">
        <v>941.47</v>
      </c>
      <c r="D43"/>
      <c r="N43" s="98"/>
      <c r="O43" s="98"/>
      <c r="P43" s="98"/>
      <c r="Q43" s="98"/>
      <c r="R43" s="98"/>
      <c r="S43" s="1273" t="s">
        <v>954</v>
      </c>
      <c r="T43" s="1274" t="s">
        <v>955</v>
      </c>
    </row>
    <row r="44" spans="2:24" ht="16.5">
      <c r="B44" s="1676">
        <v>44621</v>
      </c>
      <c r="C44" s="93">
        <v>1021.621</v>
      </c>
      <c r="D44"/>
      <c r="S44" s="691" t="s">
        <v>601</v>
      </c>
      <c r="T44" s="692" t="s">
        <v>988</v>
      </c>
    </row>
    <row r="45" spans="2:24" ht="16.5">
      <c r="B45" s="1676">
        <v>44652</v>
      </c>
      <c r="C45" s="93">
        <v>983.2270000000002</v>
      </c>
      <c r="D45"/>
      <c r="S45" s="1273" t="s">
        <v>954</v>
      </c>
      <c r="T45" s="1274" t="s">
        <v>955</v>
      </c>
    </row>
    <row r="46" spans="2:24" ht="16.5">
      <c r="B46" s="1676" t="s">
        <v>1002</v>
      </c>
      <c r="C46" s="93">
        <v>11220.682999999999</v>
      </c>
      <c r="D46"/>
      <c r="S46" s="691" t="s">
        <v>598</v>
      </c>
      <c r="T46" s="692" t="s">
        <v>988</v>
      </c>
    </row>
    <row r="47" spans="2:24" ht="16.5">
      <c r="B47"/>
      <c r="C47"/>
      <c r="D47"/>
      <c r="S47" s="1273" t="s">
        <v>954</v>
      </c>
      <c r="T47" s="1274" t="s">
        <v>955</v>
      </c>
    </row>
    <row r="48" spans="2:24" ht="16.5">
      <c r="B48"/>
      <c r="C48"/>
      <c r="D48"/>
      <c r="S48" s="691" t="s">
        <v>600</v>
      </c>
      <c r="T48" s="692" t="s">
        <v>988</v>
      </c>
    </row>
    <row r="49" spans="2:20" ht="16.5">
      <c r="B49"/>
      <c r="C49"/>
      <c r="D49"/>
      <c r="S49" s="1273" t="s">
        <v>954</v>
      </c>
      <c r="T49" s="1274" t="s">
        <v>955</v>
      </c>
    </row>
    <row r="50" spans="2:20" ht="16.5">
      <c r="B50"/>
      <c r="C50"/>
      <c r="D50"/>
      <c r="S50" s="691" t="s">
        <v>596</v>
      </c>
      <c r="T50" s="692" t="s">
        <v>988</v>
      </c>
    </row>
    <row r="51" spans="2:20" ht="16.5">
      <c r="B51"/>
      <c r="C51"/>
      <c r="S51" s="1273" t="s">
        <v>954</v>
      </c>
      <c r="T51" s="1274" t="s">
        <v>955</v>
      </c>
    </row>
    <row r="52" spans="2:20" ht="16.5">
      <c r="B52"/>
      <c r="C52"/>
      <c r="S52" s="691" t="s">
        <v>959</v>
      </c>
      <c r="T52" s="692" t="s">
        <v>988</v>
      </c>
    </row>
    <row r="53" spans="2:20" ht="16.5">
      <c r="B53"/>
      <c r="C53"/>
      <c r="S53" s="1273" t="s">
        <v>954</v>
      </c>
      <c r="T53" s="1274" t="s">
        <v>955</v>
      </c>
    </row>
    <row r="54" spans="2:20" ht="14.25">
      <c r="S54" s="691" t="s">
        <v>976</v>
      </c>
      <c r="T54" s="692" t="s">
        <v>988</v>
      </c>
    </row>
    <row r="55" spans="2:20" ht="14.25"/>
    <row r="56" spans="2:20" ht="14.25"/>
    <row r="57" spans="2:20" ht="14.25"/>
    <row r="58" spans="2:20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0" ht="14.25"/>
    <row r="60" spans="2:20" ht="14.25"/>
    <row r="61" spans="2:20" ht="14.25">
      <c r="B61" s="95" t="s">
        <v>1003</v>
      </c>
      <c r="K61" s="68"/>
    </row>
    <row r="62" spans="2:20" ht="14.25">
      <c r="B62" s="1309" t="s">
        <v>1004</v>
      </c>
      <c r="C62" s="1309"/>
      <c r="D62" s="1309" t="s">
        <v>967</v>
      </c>
      <c r="E62" s="1309" t="s">
        <v>49</v>
      </c>
      <c r="F62" s="1309" t="s">
        <v>970</v>
      </c>
      <c r="G62" s="1309" t="s">
        <v>47</v>
      </c>
      <c r="H62" s="1309" t="s">
        <v>41</v>
      </c>
      <c r="I62" s="1309" t="s">
        <v>40</v>
      </c>
      <c r="J62" s="1309" t="s">
        <v>126</v>
      </c>
      <c r="K62" s="1309" t="s">
        <v>1005</v>
      </c>
      <c r="L62" s="1309" t="s">
        <v>1006</v>
      </c>
      <c r="M62" s="1309" t="s">
        <v>1007</v>
      </c>
      <c r="N62" s="1309" t="s">
        <v>1008</v>
      </c>
      <c r="O62" s="1309" t="s">
        <v>1009</v>
      </c>
      <c r="P62" s="1309" t="s">
        <v>1010</v>
      </c>
      <c r="Q62" s="1309" t="s">
        <v>1011</v>
      </c>
      <c r="R62" s="1309" t="s">
        <v>1012</v>
      </c>
      <c r="S62" s="1309" t="s">
        <v>2207</v>
      </c>
      <c r="T62" s="1309" t="s">
        <v>2211</v>
      </c>
    </row>
    <row r="63" spans="2:20" ht="14.25">
      <c r="B63" s="119">
        <f t="shared" ref="B63:B73" si="3">DATE(YEAR(B64),MONTH(B64)-1,1)</f>
        <v>44317</v>
      </c>
      <c r="C63" s="104"/>
      <c r="D63" s="104">
        <f t="shared" ref="D63:T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0</v>
      </c>
      <c r="G63" s="104">
        <f t="shared" ca="1" si="4"/>
        <v>6723.1129941688405</v>
      </c>
      <c r="H63" s="104">
        <f t="shared" ca="1" si="4"/>
        <v>16399.988329856234</v>
      </c>
      <c r="I63" s="104">
        <f t="shared" ca="1" si="4"/>
        <v>1444.0731377213895</v>
      </c>
      <c r="J63" s="104">
        <f t="shared" ca="1" si="4"/>
        <v>0</v>
      </c>
      <c r="K63" s="104">
        <f t="shared" ca="1" si="4"/>
        <v>0</v>
      </c>
      <c r="L63" s="104">
        <f t="shared" ca="1" si="4"/>
        <v>0</v>
      </c>
      <c r="M63" s="104">
        <f t="shared" ca="1" si="4"/>
        <v>0</v>
      </c>
      <c r="N63" s="104">
        <f t="shared" ca="1" si="4"/>
        <v>2757.5084160000051</v>
      </c>
      <c r="O63" s="104">
        <f t="shared" ca="1" si="4"/>
        <v>19022.248319999995</v>
      </c>
      <c r="P63" s="104">
        <f t="shared" ca="1" si="4"/>
        <v>199.65815039999998</v>
      </c>
      <c r="Q63" s="104">
        <f t="shared" ca="1" si="4"/>
        <v>57833.004999999997</v>
      </c>
      <c r="R63" s="104">
        <f t="shared" ca="1" si="4"/>
        <v>344856.23367097462</v>
      </c>
      <c r="S63" s="104">
        <f ca="1">DSUM(MercadoBase,S$62,INDIRECT("P"&amp;5+2*(ROW()-65)&amp;":P"&amp;6+2*(ROW()-65)))</f>
        <v>0</v>
      </c>
      <c r="T63" s="104">
        <f t="shared" ca="1" si="4"/>
        <v>0</v>
      </c>
    </row>
    <row r="64" spans="2:20" ht="14.25">
      <c r="B64" s="119">
        <f t="shared" si="3"/>
        <v>44348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0</v>
      </c>
      <c r="G64" s="104">
        <f t="shared" ca="1" si="4"/>
        <v>6500.517053502309</v>
      </c>
      <c r="H64" s="104">
        <f t="shared" ca="1" si="4"/>
        <v>15850.256822495276</v>
      </c>
      <c r="I64" s="104">
        <f t="shared" ca="1" si="4"/>
        <v>1387.1437703808199</v>
      </c>
      <c r="J64" s="104">
        <f t="shared" ca="1" si="4"/>
        <v>0</v>
      </c>
      <c r="K64" s="104">
        <f t="shared" ca="1" si="4"/>
        <v>0</v>
      </c>
      <c r="L64" s="104">
        <f t="shared" ca="1" si="4"/>
        <v>0</v>
      </c>
      <c r="M64" s="104">
        <f t="shared" ca="1" si="4"/>
        <v>0</v>
      </c>
      <c r="N64" s="104">
        <f t="shared" ca="1" si="4"/>
        <v>3019.4191872000047</v>
      </c>
      <c r="O64" s="104">
        <f t="shared" ca="1" si="4"/>
        <v>18808.100479999997</v>
      </c>
      <c r="P64" s="104">
        <f t="shared" ca="1" si="4"/>
        <v>198.49734720000001</v>
      </c>
      <c r="Q64" s="104">
        <f t="shared" ca="1" si="4"/>
        <v>56177.564939999997</v>
      </c>
      <c r="R64" s="104">
        <f t="shared" ca="1" si="4"/>
        <v>331060.89435900975</v>
      </c>
      <c r="S64" s="104">
        <f t="shared" ca="1" si="4"/>
        <v>0</v>
      </c>
      <c r="T64" s="104">
        <f t="shared" ca="1" si="4"/>
        <v>0</v>
      </c>
    </row>
    <row r="65" spans="2:20" ht="14.25">
      <c r="B65" s="119">
        <f t="shared" si="3"/>
        <v>44378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0</v>
      </c>
      <c r="G65" s="104">
        <f t="shared" ca="1" si="4"/>
        <v>6265.4761249837375</v>
      </c>
      <c r="H65" s="104">
        <f t="shared" ca="1" si="4"/>
        <v>15274.39368243946</v>
      </c>
      <c r="I65" s="104">
        <f t="shared" ca="1" si="4"/>
        <v>1339.6976471664877</v>
      </c>
      <c r="J65" s="104">
        <f t="shared" ca="1" si="4"/>
        <v>0</v>
      </c>
      <c r="K65" s="104">
        <f t="shared" ca="1" si="4"/>
        <v>0</v>
      </c>
      <c r="L65" s="104">
        <f t="shared" ca="1" si="4"/>
        <v>0</v>
      </c>
      <c r="M65" s="104">
        <f t="shared" ca="1" si="4"/>
        <v>0</v>
      </c>
      <c r="N65" s="104">
        <f t="shared" ca="1" si="4"/>
        <v>2931.9937919999988</v>
      </c>
      <c r="O65" s="104">
        <f t="shared" ca="1" si="4"/>
        <v>17075.549439999995</v>
      </c>
      <c r="P65" s="104">
        <f t="shared" ca="1" si="4"/>
        <v>330.82891199999989</v>
      </c>
      <c r="Q65" s="104">
        <f t="shared" ca="1" si="4"/>
        <v>55536.135020000002</v>
      </c>
      <c r="R65" s="104">
        <f t="shared" ca="1" si="4"/>
        <v>319817.87106261239</v>
      </c>
      <c r="S65" s="104">
        <f t="shared" ca="1" si="4"/>
        <v>0</v>
      </c>
      <c r="T65" s="104">
        <f t="shared" ca="1" si="4"/>
        <v>0</v>
      </c>
    </row>
    <row r="66" spans="2:20" ht="14.25">
      <c r="B66" s="119">
        <f t="shared" si="3"/>
        <v>44409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0</v>
      </c>
      <c r="G66" s="104">
        <f t="shared" ca="1" si="4"/>
        <v>6241.2069713200008</v>
      </c>
      <c r="H66" s="104">
        <f t="shared" ca="1" si="4"/>
        <v>15206.651898727303</v>
      </c>
      <c r="I66" s="104">
        <f t="shared" ca="1" si="4"/>
        <v>1335.9367430191901</v>
      </c>
      <c r="J66" s="104">
        <f t="shared" ca="1" si="4"/>
        <v>0</v>
      </c>
      <c r="K66" s="104">
        <f t="shared" ca="1" si="4"/>
        <v>0</v>
      </c>
      <c r="L66" s="104">
        <f t="shared" ca="1" si="4"/>
        <v>0</v>
      </c>
      <c r="M66" s="104">
        <f t="shared" ca="1" si="4"/>
        <v>0</v>
      </c>
      <c r="N66" s="104">
        <f t="shared" ca="1" si="4"/>
        <v>2542.0966272000028</v>
      </c>
      <c r="O66" s="104">
        <f t="shared" ca="1" si="4"/>
        <v>17059.926879999995</v>
      </c>
      <c r="P66" s="104">
        <f t="shared" ca="1" si="4"/>
        <v>386.54746560000001</v>
      </c>
      <c r="Q66" s="104">
        <f t="shared" ca="1" si="4"/>
        <v>56194.344829999995</v>
      </c>
      <c r="R66" s="104">
        <f t="shared" ca="1" si="4"/>
        <v>318570.48715979297</v>
      </c>
      <c r="S66" s="104">
        <f t="shared" ca="1" si="4"/>
        <v>0</v>
      </c>
      <c r="T66" s="104">
        <f t="shared" ca="1" si="4"/>
        <v>0</v>
      </c>
    </row>
    <row r="67" spans="2:20" ht="14.25">
      <c r="B67" s="119">
        <f t="shared" si="3"/>
        <v>44440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0</v>
      </c>
      <c r="G67" s="104">
        <f t="shared" ca="1" si="4"/>
        <v>6557.0707819001263</v>
      </c>
      <c r="H67" s="104">
        <f t="shared" ca="1" si="4"/>
        <v>15961.699467001356</v>
      </c>
      <c r="I67" s="104">
        <f t="shared" ca="1" si="4"/>
        <v>1392.5278767076543</v>
      </c>
      <c r="J67" s="104">
        <f t="shared" ca="1" si="4"/>
        <v>0</v>
      </c>
      <c r="K67" s="104">
        <f t="shared" ca="1" si="4"/>
        <v>0</v>
      </c>
      <c r="L67" s="104">
        <f t="shared" ca="1" si="4"/>
        <v>0</v>
      </c>
      <c r="M67" s="104">
        <f t="shared" ca="1" si="4"/>
        <v>0</v>
      </c>
      <c r="N67" s="104">
        <f t="shared" ca="1" si="4"/>
        <v>2991.9217535999965</v>
      </c>
      <c r="O67" s="104">
        <f t="shared" ca="1" si="4"/>
        <v>17803.049119999996</v>
      </c>
      <c r="P67" s="104">
        <f t="shared" ca="1" si="4"/>
        <v>867.70039200000008</v>
      </c>
      <c r="Q67" s="104">
        <f t="shared" ca="1" si="4"/>
        <v>57263.635479999997</v>
      </c>
      <c r="R67" s="104">
        <f t="shared" ca="1" si="4"/>
        <v>330931.66897352849</v>
      </c>
      <c r="S67" s="104">
        <f t="shared" ca="1" si="4"/>
        <v>0</v>
      </c>
      <c r="T67" s="104">
        <f t="shared" ca="1" si="4"/>
        <v>0</v>
      </c>
    </row>
    <row r="68" spans="2:20" ht="14.25">
      <c r="B68" s="119">
        <f t="shared" si="3"/>
        <v>44470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0</v>
      </c>
      <c r="G68" s="104">
        <f t="shared" ca="1" si="4"/>
        <v>6659.4438385569056</v>
      </c>
      <c r="H68" s="104">
        <f t="shared" ca="1" si="4"/>
        <v>16220.980325493225</v>
      </c>
      <c r="I68" s="104">
        <f t="shared" ca="1" si="4"/>
        <v>1418.1788732293203</v>
      </c>
      <c r="J68" s="104">
        <f t="shared" ca="1" si="4"/>
        <v>0</v>
      </c>
      <c r="K68" s="104">
        <f t="shared" ca="1" si="4"/>
        <v>0</v>
      </c>
      <c r="L68" s="104">
        <f t="shared" ca="1" si="4"/>
        <v>0</v>
      </c>
      <c r="M68" s="104">
        <f t="shared" ca="1" si="4"/>
        <v>0</v>
      </c>
      <c r="N68" s="104">
        <f t="shared" ca="1" si="4"/>
        <v>2635.5513600000027</v>
      </c>
      <c r="O68" s="104">
        <f t="shared" ca="1" si="4"/>
        <v>18748.442399999996</v>
      </c>
      <c r="P68" s="104">
        <f t="shared" ca="1" si="4"/>
        <v>4085.4468623999992</v>
      </c>
      <c r="Q68" s="104">
        <f t="shared" ca="1" si="4"/>
        <v>57965.86415999999</v>
      </c>
      <c r="R68" s="104">
        <f t="shared" ca="1" si="4"/>
        <v>337135.88648018643</v>
      </c>
      <c r="S68" s="104">
        <f t="shared" ca="1" si="4"/>
        <v>0</v>
      </c>
      <c r="T68" s="104">
        <f t="shared" ca="1" si="4"/>
        <v>0</v>
      </c>
    </row>
    <row r="69" spans="2:20" ht="14.25">
      <c r="B69" s="119">
        <f t="shared" si="3"/>
        <v>44501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0</v>
      </c>
      <c r="G69" s="104">
        <f t="shared" ca="1" si="4"/>
        <v>7670.3551563666433</v>
      </c>
      <c r="H69" s="104">
        <f t="shared" ca="1" si="4"/>
        <v>18688.45282509788</v>
      </c>
      <c r="I69" s="104">
        <f t="shared" ca="1" si="4"/>
        <v>1655.0821025656901</v>
      </c>
      <c r="J69" s="104">
        <f t="shared" ca="1" si="4"/>
        <v>0</v>
      </c>
      <c r="K69" s="104">
        <f t="shared" ca="1" si="4"/>
        <v>0</v>
      </c>
      <c r="L69" s="104">
        <f t="shared" ca="1" si="4"/>
        <v>0</v>
      </c>
      <c r="M69" s="104">
        <f t="shared" ca="1" si="4"/>
        <v>0</v>
      </c>
      <c r="N69" s="104">
        <f t="shared" ca="1" si="4"/>
        <v>3052.4435135999984</v>
      </c>
      <c r="O69" s="104">
        <f t="shared" ca="1" si="4"/>
        <v>22694.09808</v>
      </c>
      <c r="P69" s="104">
        <f t="shared" ca="1" si="4"/>
        <v>3500.4020495999994</v>
      </c>
      <c r="Q69" s="104">
        <f t="shared" ca="1" si="4"/>
        <v>64493.248500000002</v>
      </c>
      <c r="R69" s="104">
        <f t="shared" ca="1" si="4"/>
        <v>393337.21987872315</v>
      </c>
      <c r="S69" s="104">
        <f t="shared" ca="1" si="4"/>
        <v>0</v>
      </c>
      <c r="T69" s="104">
        <f t="shared" ca="1" si="4"/>
        <v>0</v>
      </c>
    </row>
    <row r="70" spans="2:20" ht="14.25">
      <c r="B70" s="119">
        <f t="shared" si="3"/>
        <v>44531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0</v>
      </c>
      <c r="G70" s="104">
        <f t="shared" ca="1" si="4"/>
        <v>7276.9081977891874</v>
      </c>
      <c r="H70" s="104">
        <f t="shared" ca="1" si="4"/>
        <v>17719.970463718164</v>
      </c>
      <c r="I70" s="104">
        <f t="shared" ca="1" si="4"/>
        <v>1567.8437551333082</v>
      </c>
      <c r="J70" s="104">
        <f t="shared" ca="1" si="4"/>
        <v>0</v>
      </c>
      <c r="K70" s="104">
        <f t="shared" ca="1" si="4"/>
        <v>0</v>
      </c>
      <c r="L70" s="104">
        <f t="shared" ca="1" si="4"/>
        <v>0</v>
      </c>
      <c r="M70" s="104">
        <f t="shared" ca="1" si="4"/>
        <v>0</v>
      </c>
      <c r="N70" s="104">
        <f t="shared" ca="1" si="4"/>
        <v>2973.9707711999945</v>
      </c>
      <c r="O70" s="104">
        <f t="shared" ca="1" si="4"/>
        <v>20127.795679999996</v>
      </c>
      <c r="P70" s="104">
        <f t="shared" ca="1" si="4"/>
        <v>3442.9422912</v>
      </c>
      <c r="Q70" s="104">
        <f t="shared" ca="1" si="4"/>
        <v>63909.863139999994</v>
      </c>
      <c r="R70" s="104">
        <f t="shared" ca="1" si="4"/>
        <v>372268.09034301853</v>
      </c>
      <c r="S70" s="104">
        <f t="shared" ca="1" si="4"/>
        <v>0</v>
      </c>
      <c r="T70" s="104">
        <f t="shared" ca="1" si="4"/>
        <v>0</v>
      </c>
    </row>
    <row r="71" spans="2:20" ht="14.25">
      <c r="B71" s="119">
        <f t="shared" si="3"/>
        <v>44562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0</v>
      </c>
      <c r="G71" s="104">
        <f t="shared" ca="1" si="4"/>
        <v>7033.4134834311581</v>
      </c>
      <c r="H71" s="104">
        <f t="shared" ca="1" si="4"/>
        <v>17150.673824530644</v>
      </c>
      <c r="I71" s="104">
        <f t="shared" ca="1" si="4"/>
        <v>1526.4915455425501</v>
      </c>
      <c r="J71" s="104">
        <f t="shared" ca="1" si="4"/>
        <v>0</v>
      </c>
      <c r="K71" s="104">
        <f t="shared" ca="1" si="4"/>
        <v>0</v>
      </c>
      <c r="L71" s="104">
        <f t="shared" ca="1" si="4"/>
        <v>0</v>
      </c>
      <c r="M71" s="104">
        <f t="shared" ca="1" si="4"/>
        <v>0</v>
      </c>
      <c r="N71" s="104">
        <f t="shared" ca="1" si="4"/>
        <v>2536.9808256000015</v>
      </c>
      <c r="O71" s="104">
        <f t="shared" ca="1" si="4"/>
        <v>19399.565119999999</v>
      </c>
      <c r="P71" s="104">
        <f t="shared" ca="1" si="4"/>
        <v>4795.2780192</v>
      </c>
      <c r="Q71" s="104">
        <f t="shared" ca="1" si="4"/>
        <v>62990.069819999997</v>
      </c>
      <c r="R71" s="104">
        <f t="shared" ca="1" si="4"/>
        <v>363905.34372142015</v>
      </c>
      <c r="S71" s="104">
        <f t="shared" ca="1" si="4"/>
        <v>0</v>
      </c>
      <c r="T71" s="104">
        <f t="shared" ca="1" si="4"/>
        <v>0</v>
      </c>
    </row>
    <row r="72" spans="2:20" ht="14.25">
      <c r="B72" s="119">
        <f t="shared" si="3"/>
        <v>44593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0</v>
      </c>
      <c r="G72" s="104">
        <f t="shared" ca="1" si="4"/>
        <v>6703.2958588775246</v>
      </c>
      <c r="H72" s="104">
        <f t="shared" ca="1" si="4"/>
        <v>16342.811573006253</v>
      </c>
      <c r="I72" s="104">
        <f t="shared" ca="1" si="4"/>
        <v>1503.1285307488997</v>
      </c>
      <c r="J72" s="104">
        <f t="shared" ca="1" si="4"/>
        <v>0</v>
      </c>
      <c r="K72" s="104">
        <f t="shared" ca="1" si="4"/>
        <v>0</v>
      </c>
      <c r="L72" s="104">
        <f t="shared" ca="1" si="4"/>
        <v>0</v>
      </c>
      <c r="M72" s="104">
        <f t="shared" ca="1" si="4"/>
        <v>0</v>
      </c>
      <c r="N72" s="104">
        <f t="shared" ca="1" si="4"/>
        <v>2601.0196992000006</v>
      </c>
      <c r="O72" s="104">
        <f t="shared" ca="1" si="4"/>
        <v>19441.682079999999</v>
      </c>
      <c r="P72" s="104">
        <f t="shared" ca="1" si="4"/>
        <v>3261.856992</v>
      </c>
      <c r="Q72" s="104">
        <f t="shared" ca="1" si="4"/>
        <v>69072.226689999996</v>
      </c>
      <c r="R72" s="104">
        <f t="shared" ca="1" si="4"/>
        <v>358026.94528087665</v>
      </c>
      <c r="S72" s="104">
        <f t="shared" ca="1" si="4"/>
        <v>0</v>
      </c>
      <c r="T72" s="104">
        <f t="shared" ca="1" si="4"/>
        <v>0</v>
      </c>
    </row>
    <row r="73" spans="2:20" ht="14.25">
      <c r="B73" s="119">
        <f t="shared" si="3"/>
        <v>44621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0</v>
      </c>
      <c r="G73" s="104">
        <f t="shared" ca="1" si="4"/>
        <v>7141.9207007192254</v>
      </c>
      <c r="H73" s="104">
        <f t="shared" ca="1" si="4"/>
        <v>17403.464574430032</v>
      </c>
      <c r="I73" s="104">
        <f t="shared" ca="1" si="4"/>
        <v>1626.4368151622812</v>
      </c>
      <c r="J73" s="104">
        <f t="shared" ca="1" si="4"/>
        <v>0</v>
      </c>
      <c r="K73" s="104">
        <f t="shared" ca="1" si="4"/>
        <v>0</v>
      </c>
      <c r="L73" s="104">
        <f t="shared" ca="1" si="4"/>
        <v>0</v>
      </c>
      <c r="M73" s="104">
        <f t="shared" ca="1" si="4"/>
        <v>0</v>
      </c>
      <c r="N73" s="104">
        <f t="shared" ca="1" si="4"/>
        <v>2809.3059071999969</v>
      </c>
      <c r="O73" s="104">
        <f t="shared" ca="1" si="4"/>
        <v>20023.005759999996</v>
      </c>
      <c r="P73" s="104">
        <f t="shared" ca="1" si="4"/>
        <v>3573.5326511999997</v>
      </c>
      <c r="Q73" s="104">
        <f t="shared" ca="1" si="4"/>
        <v>74526.403539999999</v>
      </c>
      <c r="R73" s="104">
        <f t="shared" ca="1" si="4"/>
        <v>386956.65781524539</v>
      </c>
      <c r="S73" s="104">
        <f t="shared" ca="1" si="4"/>
        <v>0</v>
      </c>
      <c r="T73" s="104">
        <f t="shared" ca="1" si="4"/>
        <v>0</v>
      </c>
    </row>
    <row r="74" spans="2:20" ht="14.25">
      <c r="B74" s="119">
        <f>SAS_RA0_DataFim</f>
        <v>44652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0</v>
      </c>
      <c r="G74" s="104">
        <f t="shared" ca="1" si="4"/>
        <v>6816.6435781711834</v>
      </c>
      <c r="H74" s="104">
        <f t="shared" ca="1" si="4"/>
        <v>16612.123210099115</v>
      </c>
      <c r="I74" s="104">
        <f t="shared" ca="1" si="4"/>
        <v>1571.4109993064831</v>
      </c>
      <c r="J74" s="104">
        <f t="shared" ca="1" si="4"/>
        <v>0</v>
      </c>
      <c r="K74" s="104">
        <f t="shared" ca="1" si="4"/>
        <v>0</v>
      </c>
      <c r="L74" s="104">
        <f t="shared" ca="1" si="4"/>
        <v>0</v>
      </c>
      <c r="M74" s="104">
        <f t="shared" ca="1" si="4"/>
        <v>0</v>
      </c>
      <c r="N74" s="104">
        <f t="shared" ca="1" si="4"/>
        <v>3423.2020991999998</v>
      </c>
      <c r="O74" s="104">
        <f t="shared" ca="1" si="4"/>
        <v>18527.259839999999</v>
      </c>
      <c r="P74" s="104">
        <f t="shared" ca="1" si="4"/>
        <v>2049.9784512000001</v>
      </c>
      <c r="Q74" s="104">
        <f t="shared" ca="1" si="4"/>
        <v>75544.118600000002</v>
      </c>
      <c r="R74" s="104">
        <f t="shared" ca="1" si="4"/>
        <v>374257.25988907344</v>
      </c>
      <c r="S74" s="104">
        <f t="shared" ca="1" si="4"/>
        <v>0</v>
      </c>
      <c r="T74" s="104">
        <f t="shared" ca="1" si="4"/>
        <v>0</v>
      </c>
    </row>
    <row r="75" spans="2:20" ht="14.25">
      <c r="B75" s="1310" t="s">
        <v>1013</v>
      </c>
      <c r="C75" s="1311"/>
      <c r="D75" s="1311">
        <f t="shared" ref="D75:Q75" ca="1" si="5">SUM(D63:D74)</f>
        <v>0</v>
      </c>
      <c r="E75" s="1311">
        <f t="shared" ca="1" si="5"/>
        <v>0</v>
      </c>
      <c r="F75" s="1311">
        <f t="shared" ca="1" si="5"/>
        <v>0</v>
      </c>
      <c r="G75" s="1311">
        <f t="shared" ca="1" si="5"/>
        <v>81589.364739786834</v>
      </c>
      <c r="H75" s="1311">
        <f t="shared" ca="1" si="5"/>
        <v>198831.46699689492</v>
      </c>
      <c r="I75" s="1311">
        <f t="shared" ca="1" si="5"/>
        <v>17767.951796684072</v>
      </c>
      <c r="J75" s="1311">
        <f t="shared" ca="1" si="5"/>
        <v>0</v>
      </c>
      <c r="K75" s="1311">
        <f t="shared" ca="1" si="5"/>
        <v>0</v>
      </c>
      <c r="L75" s="1311">
        <f t="shared" ca="1" si="5"/>
        <v>0</v>
      </c>
      <c r="M75" s="1311">
        <f t="shared" ca="1" si="5"/>
        <v>0</v>
      </c>
      <c r="N75" s="1311">
        <f t="shared" ca="1" si="5"/>
        <v>34275.413952000003</v>
      </c>
      <c r="O75" s="1311">
        <f t="shared" ca="1" si="5"/>
        <v>228730.72319999995</v>
      </c>
      <c r="P75" s="1311">
        <f t="shared" ca="1" si="5"/>
        <v>26692.669583999999</v>
      </c>
      <c r="Q75" s="1311">
        <f t="shared" ca="1" si="5"/>
        <v>751506.47972000006</v>
      </c>
      <c r="R75" s="1311">
        <f t="shared" ref="R75:S75" ca="1" si="6">SUM(R63:R74)</f>
        <v>4231124.5586344618</v>
      </c>
      <c r="S75" s="1311">
        <f t="shared" ca="1" si="6"/>
        <v>0</v>
      </c>
      <c r="T75" s="1311">
        <f t="shared" ref="T75" ca="1" si="7">SUM(T63:T74)</f>
        <v>0</v>
      </c>
    </row>
    <row r="76" spans="2:20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0" ht="14.25">
      <c r="B77" s="95" t="s">
        <v>1014</v>
      </c>
    </row>
    <row r="78" spans="2:20" ht="14.25">
      <c r="J78" s="95" t="s">
        <v>1015</v>
      </c>
      <c r="K78" s="1312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0" ht="14.25">
      <c r="B79" s="1313" t="s">
        <v>1016</v>
      </c>
      <c r="C79" s="1314">
        <f t="shared" ref="C79:C84" ca="1" si="8">SUM(INDIRECT("dados_MercadoBase["&amp;B79&amp;"]"))</f>
        <v>2564195.8422166379</v>
      </c>
      <c r="J79" s="95" t="s">
        <v>1017</v>
      </c>
      <c r="K79" s="1315"/>
      <c r="L79" s="1315"/>
      <c r="M79" s="1315">
        <f>SUMIFS(M63:M74,$B$63:$B$74,42826)</f>
        <v>0</v>
      </c>
      <c r="N79" s="1315">
        <f>SUMIFS(N63:N74,$B$63:$B$74,42826)</f>
        <v>0</v>
      </c>
      <c r="O79" s="1315">
        <f>SUMIFS(O63:O74,$B$63:$B$74,42826)</f>
        <v>0</v>
      </c>
      <c r="P79" s="1315">
        <f>SUMIFS(P63:P74,$B$63:$B$74,42826)</f>
        <v>0</v>
      </c>
      <c r="Q79" s="1315">
        <f>SUMIFS(Q63:Q74,$B$63:$B$74,42826)</f>
        <v>0</v>
      </c>
    </row>
    <row r="80" spans="2:20" ht="14.25">
      <c r="B80" s="118" t="s">
        <v>1018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1019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1020</v>
      </c>
      <c r="C82" s="104">
        <f t="shared" ca="1" si="8"/>
        <v>0</v>
      </c>
    </row>
    <row r="83" spans="2:13" ht="14.25">
      <c r="B83" s="118" t="s">
        <v>1021</v>
      </c>
      <c r="C83" s="104">
        <f t="shared" ca="1" si="8"/>
        <v>342286.73091921501</v>
      </c>
    </row>
    <row r="84" spans="2:13" ht="14.25">
      <c r="B84" s="118" t="s">
        <v>1020</v>
      </c>
      <c r="C84" s="104">
        <f t="shared" ca="1" si="8"/>
        <v>0</v>
      </c>
    </row>
    <row r="85" spans="2:13" ht="14.25">
      <c r="B85" s="1316"/>
      <c r="C85" s="1317"/>
    </row>
    <row r="86" spans="2:13" ht="14.25"/>
    <row r="87" spans="2:13" ht="14.25">
      <c r="B87" s="1313" t="s">
        <v>1022</v>
      </c>
      <c r="C87" s="1314">
        <f t="shared" ref="C87:C97" ca="1" si="9">SUM(INDIRECT("dados_MercadoBase["&amp;B87&amp;"]"))</f>
        <v>0</v>
      </c>
    </row>
    <row r="88" spans="2:13" ht="14.25">
      <c r="B88" s="118" t="s">
        <v>1023</v>
      </c>
      <c r="C88" s="104">
        <f t="shared" ca="1" si="9"/>
        <v>0</v>
      </c>
    </row>
    <row r="89" spans="2:13" ht="14.25">
      <c r="B89" s="118" t="s">
        <v>1024</v>
      </c>
      <c r="C89" s="104">
        <f t="shared" ca="1" si="9"/>
        <v>0</v>
      </c>
    </row>
    <row r="90" spans="2:13" ht="14.25">
      <c r="B90" s="118" t="s">
        <v>1025</v>
      </c>
      <c r="C90" s="104">
        <f t="shared" ca="1" si="9"/>
        <v>0</v>
      </c>
    </row>
    <row r="91" spans="2:13" ht="14.25">
      <c r="B91" s="118" t="s">
        <v>1026</v>
      </c>
      <c r="C91" s="104">
        <f t="shared" ca="1" si="9"/>
        <v>0</v>
      </c>
    </row>
    <row r="92" spans="2:13" ht="14.25">
      <c r="B92" s="118" t="s">
        <v>1027</v>
      </c>
      <c r="C92" s="104">
        <f t="shared" ca="1" si="9"/>
        <v>0</v>
      </c>
      <c r="G92" s="105"/>
    </row>
    <row r="93" spans="2:13" ht="14.25">
      <c r="B93" s="118" t="s">
        <v>1028</v>
      </c>
      <c r="C93" s="104">
        <f t="shared" ca="1" si="9"/>
        <v>0</v>
      </c>
      <c r="E93" s="106"/>
      <c r="G93" s="79"/>
    </row>
    <row r="94" spans="2:13" ht="14.25">
      <c r="B94" s="118" t="s">
        <v>1029</v>
      </c>
      <c r="C94" s="104">
        <f t="shared" ca="1" si="9"/>
        <v>0</v>
      </c>
      <c r="E94" s="106"/>
      <c r="G94" s="106"/>
    </row>
    <row r="95" spans="2:13" ht="14.25">
      <c r="B95" s="118" t="s">
        <v>1030</v>
      </c>
      <c r="C95" s="104">
        <f t="shared" ca="1" si="9"/>
        <v>0</v>
      </c>
      <c r="E95" s="106"/>
      <c r="G95" s="106"/>
    </row>
    <row r="96" spans="2:13" ht="14.25">
      <c r="B96" s="118" t="s">
        <v>1031</v>
      </c>
      <c r="C96" s="104">
        <f ca="1">SUM(INDIRECT("dados_MercadoBase["&amp;B96&amp;"]"))</f>
        <v>1233351.9575227718</v>
      </c>
      <c r="E96" s="106"/>
      <c r="G96" s="106"/>
    </row>
    <row r="97" spans="1:7" ht="14.25">
      <c r="B97" s="1316" t="s">
        <v>1032</v>
      </c>
      <c r="C97" s="1317">
        <f t="shared" ca="1" si="9"/>
        <v>4231124.5586344618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1033</v>
      </c>
      <c r="C100" s="231"/>
      <c r="D100" s="232"/>
      <c r="E100" s="106"/>
      <c r="G100" s="252"/>
    </row>
    <row r="101" spans="1:7" ht="12.75" customHeight="1">
      <c r="A101" s="232"/>
      <c r="B101" s="1305" t="s">
        <v>1034</v>
      </c>
      <c r="C101" s="1306" t="s">
        <v>953</v>
      </c>
      <c r="D101" s="232"/>
    </row>
    <row r="102" spans="1:7" ht="12.75" customHeight="1">
      <c r="A102" s="232"/>
      <c r="B102" s="1307" t="s">
        <v>1035</v>
      </c>
      <c r="C102" s="1318">
        <f>SAS_RA0_DataFim</f>
        <v>44652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1036</v>
      </c>
      <c r="E109" s="111"/>
    </row>
    <row r="111" spans="1:7" ht="12.75" customHeight="1">
      <c r="B111" s="1277" t="s">
        <v>855</v>
      </c>
      <c r="C111" s="1277" t="s">
        <v>120</v>
      </c>
      <c r="D111" s="1277" t="s">
        <v>963</v>
      </c>
    </row>
    <row r="112" spans="1:7" ht="12.75" customHeight="1">
      <c r="B112" s="1279" t="s">
        <v>988</v>
      </c>
      <c r="C112" s="1280"/>
      <c r="D112" s="1281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0</v>
      </c>
      <c r="D117" s="114">
        <f t="shared" ca="1" si="11"/>
        <v>0</v>
      </c>
    </row>
    <row r="118" spans="2:4" ht="12.75" customHeight="1">
      <c r="B118" s="113" t="s">
        <v>976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302" t="s">
        <v>846</v>
      </c>
      <c r="C120" s="1303">
        <f ca="1">SUM(C114:C119)</f>
        <v>0</v>
      </c>
      <c r="D120" s="1304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workbookViewId="0">
      <selection activeCell="H2" sqref="H2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9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2" width="10.28515625" style="291" bestFit="1" customWidth="1"/>
    <col min="113" max="113" width="11.285156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0.285156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2.28515625" style="266" bestFit="1" customWidth="1"/>
    <col min="130" max="130" width="10.140625" style="266" bestFit="1" customWidth="1"/>
    <col min="131" max="132" width="9.42578125" style="266" bestFit="1" customWidth="1"/>
    <col min="133" max="133" width="12.28515625" style="266" bestFit="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0.42578125" style="266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4"/>
      <c r="S1" s="504"/>
      <c r="T1" s="504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</row>
    <row r="2" spans="1:165">
      <c r="A2" s="266" t="s">
        <v>1037</v>
      </c>
      <c r="B2" s="264" t="s">
        <v>1034</v>
      </c>
      <c r="C2" s="265" t="s">
        <v>58</v>
      </c>
      <c r="D2" s="264" t="s">
        <v>954</v>
      </c>
      <c r="E2" s="265" t="s">
        <v>587</v>
      </c>
      <c r="F2" s="265" t="s">
        <v>983</v>
      </c>
      <c r="G2" s="265" t="s">
        <v>1038</v>
      </c>
      <c r="H2" s="265" t="s">
        <v>1039</v>
      </c>
      <c r="I2" s="265" t="s">
        <v>1040</v>
      </c>
      <c r="J2" s="265" t="s">
        <v>1041</v>
      </c>
      <c r="K2" s="499" t="s">
        <v>953</v>
      </c>
      <c r="L2" s="291" t="s">
        <v>1042</v>
      </c>
      <c r="M2" s="291" t="s">
        <v>1043</v>
      </c>
      <c r="N2" s="291" t="s">
        <v>1044</v>
      </c>
      <c r="O2" s="291" t="s">
        <v>1045</v>
      </c>
      <c r="P2" s="291" t="s">
        <v>1046</v>
      </c>
      <c r="Q2" s="291" t="s">
        <v>1047</v>
      </c>
      <c r="R2" s="265" t="s">
        <v>1048</v>
      </c>
      <c r="S2" s="265" t="s">
        <v>1049</v>
      </c>
      <c r="T2" s="265" t="s">
        <v>1050</v>
      </c>
      <c r="U2" s="265" t="s">
        <v>1051</v>
      </c>
      <c r="V2" s="265" t="s">
        <v>1052</v>
      </c>
      <c r="W2" s="265" t="s">
        <v>846</v>
      </c>
      <c r="X2" s="265" t="s">
        <v>1053</v>
      </c>
      <c r="Y2" s="265" t="s">
        <v>39</v>
      </c>
      <c r="Z2" s="265" t="s">
        <v>41</v>
      </c>
      <c r="AA2" s="265" t="s">
        <v>126</v>
      </c>
      <c r="AB2" s="265" t="s">
        <v>1029</v>
      </c>
      <c r="AC2" s="265" t="s">
        <v>1030</v>
      </c>
      <c r="AD2" s="265" t="s">
        <v>1031</v>
      </c>
      <c r="AE2" s="265" t="s">
        <v>1032</v>
      </c>
      <c r="AF2" s="265" t="s">
        <v>1016</v>
      </c>
      <c r="AG2" s="265" t="s">
        <v>970</v>
      </c>
      <c r="AH2" s="265" t="s">
        <v>1054</v>
      </c>
      <c r="AI2" s="265" t="s">
        <v>49</v>
      </c>
      <c r="AJ2" s="265" t="s">
        <v>1028</v>
      </c>
      <c r="AK2" s="265" t="s">
        <v>967</v>
      </c>
      <c r="AL2" s="265" t="s">
        <v>47</v>
      </c>
      <c r="AM2" s="265" t="s">
        <v>38</v>
      </c>
      <c r="AN2" s="265" t="s">
        <v>40</v>
      </c>
      <c r="AO2" s="265" t="s">
        <v>1024</v>
      </c>
      <c r="AP2" s="265" t="s">
        <v>1026</v>
      </c>
      <c r="AQ2" s="265" t="s">
        <v>1025</v>
      </c>
      <c r="AR2" s="265" t="s">
        <v>1022</v>
      </c>
      <c r="AS2" s="265" t="s">
        <v>1023</v>
      </c>
      <c r="AT2" s="265" t="s">
        <v>1027</v>
      </c>
      <c r="AU2" s="265" t="s">
        <v>1055</v>
      </c>
      <c r="AV2" s="265" t="s">
        <v>1056</v>
      </c>
      <c r="AW2" s="265" t="s">
        <v>1057</v>
      </c>
      <c r="AX2" s="265" t="s">
        <v>1058</v>
      </c>
      <c r="AY2" s="265" t="s">
        <v>1059</v>
      </c>
      <c r="AZ2" s="265" t="s">
        <v>1060</v>
      </c>
      <c r="BA2" s="265" t="s">
        <v>1061</v>
      </c>
      <c r="BB2" s="265" t="s">
        <v>1062</v>
      </c>
      <c r="BC2" s="265" t="s">
        <v>1063</v>
      </c>
      <c r="BD2" s="265" t="s">
        <v>1064</v>
      </c>
      <c r="BE2" s="265" t="s">
        <v>1065</v>
      </c>
      <c r="BF2" s="265" t="s">
        <v>1066</v>
      </c>
      <c r="BG2" s="265" t="s">
        <v>1067</v>
      </c>
      <c r="BH2" s="265" t="s">
        <v>1068</v>
      </c>
      <c r="BI2" s="265" t="s">
        <v>1069</v>
      </c>
      <c r="BJ2" s="265" t="s">
        <v>1070</v>
      </c>
      <c r="BK2" s="265" t="s">
        <v>232</v>
      </c>
      <c r="BL2" s="265" t="s">
        <v>1071</v>
      </c>
      <c r="BM2" s="265" t="s">
        <v>1072</v>
      </c>
      <c r="BN2" s="265" t="s">
        <v>1005</v>
      </c>
      <c r="BO2" s="265" t="s">
        <v>1006</v>
      </c>
      <c r="BP2" s="265" t="s">
        <v>1007</v>
      </c>
      <c r="BQ2" s="265" t="s">
        <v>1008</v>
      </c>
      <c r="BR2" s="291" t="s">
        <v>1009</v>
      </c>
      <c r="BS2" s="291" t="s">
        <v>1010</v>
      </c>
      <c r="BT2" s="291" t="s">
        <v>1011</v>
      </c>
      <c r="BU2" s="291" t="s">
        <v>1073</v>
      </c>
      <c r="BV2" s="291" t="s">
        <v>1074</v>
      </c>
      <c r="BW2" s="266" t="s">
        <v>1075</v>
      </c>
      <c r="BX2" s="266" t="s">
        <v>1076</v>
      </c>
      <c r="BY2" s="266" t="s">
        <v>1077</v>
      </c>
      <c r="BZ2" s="266" t="s">
        <v>1078</v>
      </c>
      <c r="CA2" s="266" t="s">
        <v>1079</v>
      </c>
      <c r="CB2" s="266" t="s">
        <v>1080</v>
      </c>
      <c r="CC2" s="266" t="s">
        <v>1081</v>
      </c>
      <c r="CD2" s="266" t="s">
        <v>1082</v>
      </c>
      <c r="CE2" s="266" t="s">
        <v>1083</v>
      </c>
      <c r="CF2" s="266" t="s">
        <v>1084</v>
      </c>
      <c r="CG2" s="266" t="s">
        <v>1085</v>
      </c>
      <c r="CH2" s="266" t="s">
        <v>1086</v>
      </c>
      <c r="CI2" s="266" t="s">
        <v>1087</v>
      </c>
      <c r="CJ2" s="291" t="s">
        <v>1088</v>
      </c>
      <c r="CK2" s="266" t="s">
        <v>1089</v>
      </c>
      <c r="CL2" s="266" t="s">
        <v>1090</v>
      </c>
      <c r="CM2" s="266" t="s">
        <v>1091</v>
      </c>
      <c r="CN2" s="266" t="s">
        <v>1092</v>
      </c>
      <c r="CO2" s="291" t="s">
        <v>1093</v>
      </c>
      <c r="CP2" s="291" t="s">
        <v>1094</v>
      </c>
      <c r="CQ2" s="291" t="s">
        <v>1095</v>
      </c>
      <c r="CR2" s="291" t="s">
        <v>1096</v>
      </c>
      <c r="CS2" s="291" t="s">
        <v>1097</v>
      </c>
      <c r="CT2" s="291" t="s">
        <v>1098</v>
      </c>
      <c r="CU2" s="291" t="s">
        <v>1099</v>
      </c>
      <c r="CV2" s="291" t="s">
        <v>1100</v>
      </c>
      <c r="CW2" s="291" t="s">
        <v>1101</v>
      </c>
      <c r="CX2" s="291" t="s">
        <v>1102</v>
      </c>
      <c r="CY2" s="291" t="s">
        <v>1103</v>
      </c>
      <c r="CZ2" s="291" t="s">
        <v>1104</v>
      </c>
      <c r="DA2" s="291" t="s">
        <v>1105</v>
      </c>
      <c r="DB2" s="291" t="s">
        <v>1106</v>
      </c>
      <c r="DC2" s="291" t="s">
        <v>1107</v>
      </c>
      <c r="DD2" s="291" t="s">
        <v>1108</v>
      </c>
      <c r="DE2" s="291" t="s">
        <v>1109</v>
      </c>
      <c r="DF2" s="291" t="s">
        <v>1110</v>
      </c>
      <c r="DG2" s="291" t="s">
        <v>1111</v>
      </c>
      <c r="DH2" s="291" t="s">
        <v>1112</v>
      </c>
      <c r="DI2" s="291" t="s">
        <v>1113</v>
      </c>
      <c r="DJ2" s="291" t="s">
        <v>1114</v>
      </c>
      <c r="DK2" s="291" t="s">
        <v>1115</v>
      </c>
      <c r="DL2" s="291" t="s">
        <v>1116</v>
      </c>
      <c r="DM2" s="291" t="s">
        <v>1117</v>
      </c>
      <c r="DN2" s="291" t="s">
        <v>1118</v>
      </c>
      <c r="DO2" s="291" t="s">
        <v>1119</v>
      </c>
      <c r="DP2" s="291" t="s">
        <v>1120</v>
      </c>
      <c r="DQ2" s="291" t="s">
        <v>1121</v>
      </c>
      <c r="DR2" s="291" t="s">
        <v>2264</v>
      </c>
      <c r="DS2" s="291" t="s">
        <v>1122</v>
      </c>
      <c r="DT2" s="266" t="s">
        <v>1123</v>
      </c>
      <c r="DU2" s="266" t="s">
        <v>1124</v>
      </c>
      <c r="DV2" s="266" t="s">
        <v>1125</v>
      </c>
      <c r="DW2" s="266" t="s">
        <v>1126</v>
      </c>
      <c r="DX2" s="266" t="s">
        <v>1127</v>
      </c>
      <c r="DY2" s="266" t="s">
        <v>1128</v>
      </c>
      <c r="DZ2" s="266" t="s">
        <v>1129</v>
      </c>
      <c r="EA2" s="266" t="s">
        <v>1130</v>
      </c>
      <c r="EB2" s="266" t="s">
        <v>1131</v>
      </c>
      <c r="EC2" s="266" t="s">
        <v>1132</v>
      </c>
      <c r="ED2" s="266" t="s">
        <v>1133</v>
      </c>
      <c r="EE2" s="266" t="s">
        <v>1134</v>
      </c>
      <c r="EF2" s="266" t="s">
        <v>1135</v>
      </c>
      <c r="EG2" s="266" t="s">
        <v>1136</v>
      </c>
      <c r="EH2" s="266" t="s">
        <v>1137</v>
      </c>
      <c r="EI2" s="266" t="s">
        <v>1138</v>
      </c>
      <c r="EJ2" s="266" t="s">
        <v>1139</v>
      </c>
      <c r="EK2" s="266" t="s">
        <v>1140</v>
      </c>
      <c r="EL2" s="266" t="s">
        <v>1141</v>
      </c>
      <c r="EM2" s="266" t="s">
        <v>1142</v>
      </c>
      <c r="EN2" s="266" t="s">
        <v>1143</v>
      </c>
      <c r="EO2" s="266" t="s">
        <v>1144</v>
      </c>
      <c r="EP2" s="266" t="s">
        <v>2207</v>
      </c>
      <c r="EQ2" s="266" t="s">
        <v>2208</v>
      </c>
      <c r="ER2" s="266" t="s">
        <v>2209</v>
      </c>
      <c r="ES2" s="266" t="s">
        <v>2210</v>
      </c>
      <c r="ET2" s="266" t="s">
        <v>2211</v>
      </c>
      <c r="EU2" s="266" t="s">
        <v>2212</v>
      </c>
      <c r="EV2" s="266" t="s">
        <v>1145</v>
      </c>
      <c r="EW2" s="266" t="s">
        <v>1146</v>
      </c>
      <c r="EX2" s="266" t="s">
        <v>1147</v>
      </c>
      <c r="EY2" s="266" t="s">
        <v>1148</v>
      </c>
      <c r="EZ2" s="266" t="s">
        <v>1149</v>
      </c>
      <c r="FA2" s="266" t="s">
        <v>1150</v>
      </c>
      <c r="FB2" s="266" t="s">
        <v>1151</v>
      </c>
      <c r="FC2" s="266" t="s">
        <v>1152</v>
      </c>
      <c r="FD2" s="266" t="s">
        <v>1153</v>
      </c>
      <c r="FE2" s="266" t="s">
        <v>1154</v>
      </c>
      <c r="FF2" s="266" t="s">
        <v>1155</v>
      </c>
      <c r="FG2" s="266" t="s">
        <v>1156</v>
      </c>
      <c r="FH2" s="266" t="s">
        <v>1157</v>
      </c>
      <c r="FI2" s="266" t="s">
        <v>1158</v>
      </c>
    </row>
    <row r="3" spans="1:165" customFormat="1">
      <c r="A3" s="409">
        <v>1</v>
      </c>
      <c r="B3" s="409" t="s">
        <v>1035</v>
      </c>
      <c r="C3" s="409" t="s">
        <v>2244</v>
      </c>
      <c r="D3" s="409" t="s">
        <v>1991</v>
      </c>
      <c r="E3" s="409" t="s">
        <v>968</v>
      </c>
      <c r="F3" s="409" t="s">
        <v>968</v>
      </c>
      <c r="G3" s="409" t="s">
        <v>1323</v>
      </c>
      <c r="H3" s="409" t="s">
        <v>1323</v>
      </c>
      <c r="I3" s="409" t="s">
        <v>1323</v>
      </c>
      <c r="J3" s="409" t="s">
        <v>2245</v>
      </c>
      <c r="K3" s="835">
        <v>44317</v>
      </c>
      <c r="L3" s="409">
        <v>0</v>
      </c>
      <c r="M3" s="409">
        <v>0</v>
      </c>
      <c r="N3" s="409">
        <v>211.17099999999999</v>
      </c>
      <c r="O3" s="409">
        <v>211.17099999999999</v>
      </c>
      <c r="P3" s="409">
        <v>211.17099999999999</v>
      </c>
      <c r="Q3" s="409">
        <v>211.17099999999999</v>
      </c>
      <c r="R3" s="409"/>
      <c r="S3" s="409">
        <v>597.01</v>
      </c>
      <c r="T3" s="409">
        <v>243.39</v>
      </c>
      <c r="U3" s="409"/>
      <c r="V3" s="409">
        <v>177468.1084</v>
      </c>
      <c r="W3" s="409">
        <v>177468.1084</v>
      </c>
      <c r="X3" s="409">
        <v>160760.25887999998</v>
      </c>
      <c r="Y3" s="409">
        <v>0</v>
      </c>
      <c r="Z3" s="409">
        <v>5254.6688198032425</v>
      </c>
      <c r="AA3" s="409">
        <v>0</v>
      </c>
      <c r="AB3" s="409">
        <v>0</v>
      </c>
      <c r="AC3" s="409">
        <v>0</v>
      </c>
      <c r="AD3" s="409">
        <v>24746.932173885809</v>
      </c>
      <c r="AE3" s="409">
        <v>86588.245312696206</v>
      </c>
      <c r="AF3" s="409">
        <v>51396.327871926449</v>
      </c>
      <c r="AG3" s="409">
        <v>0</v>
      </c>
      <c r="AH3" s="409">
        <v>0</v>
      </c>
      <c r="AI3" s="409">
        <v>0</v>
      </c>
      <c r="AJ3" s="409">
        <v>0</v>
      </c>
      <c r="AK3" s="409">
        <v>0</v>
      </c>
      <c r="AL3" s="409">
        <v>2145.3053686932885</v>
      </c>
      <c r="AM3" s="409"/>
      <c r="AN3" s="409">
        <v>362.55345466601608</v>
      </c>
      <c r="AO3" s="409">
        <v>0</v>
      </c>
      <c r="AP3" s="409">
        <v>0</v>
      </c>
      <c r="AQ3" s="409">
        <v>0</v>
      </c>
      <c r="AR3" s="409">
        <v>0</v>
      </c>
      <c r="AS3" s="409">
        <v>0</v>
      </c>
      <c r="AT3" s="409">
        <v>0</v>
      </c>
      <c r="AU3" s="409">
        <v>0</v>
      </c>
      <c r="AV3" s="409">
        <v>0</v>
      </c>
      <c r="AW3" s="409">
        <v>0</v>
      </c>
      <c r="AX3" s="409">
        <v>0</v>
      </c>
      <c r="AY3" s="409">
        <v>0</v>
      </c>
      <c r="AZ3" s="409">
        <v>0</v>
      </c>
      <c r="BA3" s="409"/>
      <c r="BB3" s="409">
        <v>0</v>
      </c>
      <c r="BC3" s="409">
        <v>0</v>
      </c>
      <c r="BD3" s="409">
        <v>0</v>
      </c>
      <c r="BE3" s="409">
        <v>0</v>
      </c>
      <c r="BF3" s="409">
        <v>0</v>
      </c>
      <c r="BG3" s="409">
        <v>6972.7247956663041</v>
      </c>
      <c r="BH3" s="409">
        <v>0</v>
      </c>
      <c r="BI3" s="409">
        <v>43.05</v>
      </c>
      <c r="BJ3" s="409">
        <v>198.83</v>
      </c>
      <c r="BK3" s="409">
        <v>1505.57</v>
      </c>
      <c r="BL3" s="409">
        <v>1979</v>
      </c>
      <c r="BM3" s="409"/>
      <c r="BN3" s="409"/>
      <c r="BO3" s="409"/>
      <c r="BP3" s="409"/>
      <c r="BQ3" s="409"/>
      <c r="BR3" s="409"/>
      <c r="BS3" s="409"/>
      <c r="BT3" s="409"/>
      <c r="BU3" s="409"/>
      <c r="BV3" s="409">
        <v>58369.052667592754</v>
      </c>
      <c r="BW3" s="409"/>
      <c r="BX3" s="409"/>
      <c r="BY3" s="409"/>
      <c r="BZ3" s="409"/>
      <c r="CA3" s="409"/>
      <c r="CB3" s="409"/>
      <c r="CC3" s="409"/>
      <c r="CD3" s="409"/>
      <c r="CE3" s="409"/>
      <c r="CF3" s="409"/>
      <c r="CG3" s="409"/>
      <c r="CH3" s="409"/>
      <c r="CI3" s="409">
        <v>160759.4976</v>
      </c>
      <c r="CJ3" s="409">
        <v>-16708.640799999994</v>
      </c>
      <c r="CK3" s="409"/>
      <c r="CL3" s="409"/>
      <c r="CM3" s="409"/>
      <c r="CN3" s="409"/>
      <c r="CO3" s="409">
        <v>-18494.356179999995</v>
      </c>
      <c r="CP3" s="409">
        <v>1786.5066600000016</v>
      </c>
      <c r="CQ3" s="409">
        <v>31</v>
      </c>
      <c r="CR3" s="409">
        <v>3140.920079024756</v>
      </c>
      <c r="CS3" s="409">
        <v>0</v>
      </c>
      <c r="CT3" s="409">
        <v>0</v>
      </c>
      <c r="CU3" s="409">
        <v>0</v>
      </c>
      <c r="CV3" s="409">
        <v>0</v>
      </c>
      <c r="CW3" s="409">
        <v>0</v>
      </c>
      <c r="CX3" s="409">
        <v>0</v>
      </c>
      <c r="CY3" s="409">
        <v>0</v>
      </c>
      <c r="CZ3" s="409">
        <v>927.77778669795953</v>
      </c>
      <c r="DA3" s="409">
        <v>0</v>
      </c>
      <c r="DB3" s="409">
        <v>0</v>
      </c>
      <c r="DC3" s="409">
        <v>2354.4609872398796</v>
      </c>
      <c r="DD3" s="409">
        <v>0</v>
      </c>
      <c r="DE3" s="409">
        <v>0</v>
      </c>
      <c r="DF3" s="409">
        <v>0</v>
      </c>
      <c r="DG3" s="409">
        <v>319.41987270112077</v>
      </c>
      <c r="DH3" s="409">
        <v>0</v>
      </c>
      <c r="DI3" s="409">
        <v>-38.321672936108371</v>
      </c>
      <c r="DJ3" s="409"/>
      <c r="DK3" s="409">
        <v>0</v>
      </c>
      <c r="DL3" s="409">
        <v>0</v>
      </c>
      <c r="DM3" s="409">
        <v>0</v>
      </c>
      <c r="DN3" s="409">
        <v>0</v>
      </c>
      <c r="DO3" s="409">
        <v>-12.032915304147991</v>
      </c>
      <c r="DP3" s="409">
        <v>-21.355611517717648</v>
      </c>
      <c r="DQ3" s="409">
        <v>0</v>
      </c>
      <c r="DR3" s="409">
        <v>-389.02836785624174</v>
      </c>
      <c r="DS3" s="409"/>
      <c r="DT3" s="409"/>
      <c r="DU3" s="409"/>
      <c r="DV3" s="409">
        <v>86588.245312696206</v>
      </c>
      <c r="DW3" s="409">
        <v>0</v>
      </c>
      <c r="DX3" s="409">
        <v>0</v>
      </c>
      <c r="DY3" s="409">
        <v>-18494.356180000002</v>
      </c>
      <c r="DZ3" s="409">
        <v>1786.5066600000064</v>
      </c>
      <c r="EA3" s="409">
        <v>0</v>
      </c>
      <c r="EB3" s="409">
        <v>0</v>
      </c>
      <c r="EC3" s="409">
        <v>-19848.061899802036</v>
      </c>
      <c r="ED3" s="409">
        <v>0</v>
      </c>
      <c r="EE3" s="409">
        <v>0</v>
      </c>
      <c r="EF3" s="409">
        <v>0</v>
      </c>
      <c r="EG3" s="409">
        <v>0</v>
      </c>
      <c r="EH3" s="409">
        <v>0</v>
      </c>
      <c r="EI3" s="409">
        <v>0</v>
      </c>
      <c r="EJ3" s="409">
        <v>0</v>
      </c>
      <c r="EK3" s="409">
        <v>0</v>
      </c>
      <c r="EL3" s="409">
        <v>0</v>
      </c>
      <c r="EM3" s="409">
        <v>0</v>
      </c>
      <c r="EN3" s="409">
        <v>0</v>
      </c>
      <c r="EO3" s="409">
        <v>0</v>
      </c>
      <c r="EP3" s="409">
        <v>0</v>
      </c>
      <c r="EQ3" s="409">
        <v>0</v>
      </c>
      <c r="ER3" s="409">
        <v>0</v>
      </c>
      <c r="ES3" s="409">
        <v>0</v>
      </c>
      <c r="ET3" s="409">
        <v>0</v>
      </c>
      <c r="EU3" s="409">
        <v>0</v>
      </c>
      <c r="EV3" s="409">
        <v>254</v>
      </c>
      <c r="EW3" s="409">
        <v>0</v>
      </c>
      <c r="EX3" s="409">
        <v>0</v>
      </c>
      <c r="EY3" s="409">
        <v>0</v>
      </c>
      <c r="EZ3" s="409"/>
      <c r="FA3" s="409">
        <v>0</v>
      </c>
      <c r="FB3" s="409"/>
      <c r="FC3" s="409"/>
      <c r="FD3" s="409"/>
      <c r="FE3" s="409"/>
      <c r="FF3" s="409">
        <v>0</v>
      </c>
      <c r="FG3" s="409">
        <v>0</v>
      </c>
      <c r="FH3" s="409">
        <v>0</v>
      </c>
      <c r="FI3" s="409">
        <v>0</v>
      </c>
    </row>
    <row r="4" spans="1:165" customFormat="1">
      <c r="A4" s="409">
        <v>2</v>
      </c>
      <c r="B4" s="409" t="s">
        <v>2246</v>
      </c>
      <c r="C4" s="409" t="s">
        <v>2244</v>
      </c>
      <c r="D4" s="409" t="s">
        <v>1991</v>
      </c>
      <c r="E4" s="409" t="s">
        <v>968</v>
      </c>
      <c r="F4" s="409" t="s">
        <v>968</v>
      </c>
      <c r="G4" s="409" t="s">
        <v>1323</v>
      </c>
      <c r="H4" s="409" t="s">
        <v>1323</v>
      </c>
      <c r="I4" s="409" t="s">
        <v>1323</v>
      </c>
      <c r="J4" s="409" t="s">
        <v>2245</v>
      </c>
      <c r="K4" s="835">
        <v>44317</v>
      </c>
      <c r="L4" s="409">
        <v>0</v>
      </c>
      <c r="M4" s="409">
        <v>0</v>
      </c>
      <c r="N4" s="409">
        <v>1.385</v>
      </c>
      <c r="O4" s="409">
        <v>1.385</v>
      </c>
      <c r="P4" s="409">
        <v>1.385</v>
      </c>
      <c r="Q4" s="409">
        <v>1.385</v>
      </c>
      <c r="R4" s="409"/>
      <c r="S4" s="409">
        <v>597.01</v>
      </c>
      <c r="T4" s="409">
        <v>243.39</v>
      </c>
      <c r="U4" s="409"/>
      <c r="V4" s="409">
        <v>1163.954</v>
      </c>
      <c r="W4" s="409">
        <v>1163.954</v>
      </c>
      <c r="X4" s="409">
        <v>1054.3728000000001</v>
      </c>
      <c r="Y4" s="409">
        <v>0</v>
      </c>
      <c r="Z4" s="409">
        <v>34.463616289298677</v>
      </c>
      <c r="AA4" s="409">
        <v>0</v>
      </c>
      <c r="AB4" s="409">
        <v>0</v>
      </c>
      <c r="AC4" s="409">
        <v>0</v>
      </c>
      <c r="AD4" s="409">
        <v>162.30685586956469</v>
      </c>
      <c r="AE4" s="409">
        <v>567.90335679655004</v>
      </c>
      <c r="AF4" s="409">
        <v>337.09133404974233</v>
      </c>
      <c r="AG4" s="409">
        <v>0</v>
      </c>
      <c r="AH4" s="409">
        <v>0</v>
      </c>
      <c r="AI4" s="409">
        <v>0</v>
      </c>
      <c r="AJ4" s="409">
        <v>0</v>
      </c>
      <c r="AK4" s="409">
        <v>0</v>
      </c>
      <c r="AL4" s="409">
        <v>14.070340793197005</v>
      </c>
      <c r="AM4" s="409"/>
      <c r="AN4" s="409">
        <v>2.3778669169177218</v>
      </c>
      <c r="AO4" s="409">
        <v>0</v>
      </c>
      <c r="AP4" s="409">
        <v>0</v>
      </c>
      <c r="AQ4" s="409">
        <v>0</v>
      </c>
      <c r="AR4" s="409">
        <v>0</v>
      </c>
      <c r="AS4" s="409">
        <v>0</v>
      </c>
      <c r="AT4" s="409">
        <v>0</v>
      </c>
      <c r="AU4" s="409">
        <v>0</v>
      </c>
      <c r="AV4" s="409">
        <v>0</v>
      </c>
      <c r="AW4" s="409">
        <v>0</v>
      </c>
      <c r="AX4" s="409">
        <v>0</v>
      </c>
      <c r="AY4" s="409">
        <v>0</v>
      </c>
      <c r="AZ4" s="409">
        <v>0</v>
      </c>
      <c r="BA4" s="409"/>
      <c r="BB4" s="409">
        <v>0</v>
      </c>
      <c r="BC4" s="409">
        <v>0</v>
      </c>
      <c r="BD4" s="409">
        <v>0</v>
      </c>
      <c r="BE4" s="409">
        <v>0</v>
      </c>
      <c r="BF4" s="409">
        <v>0</v>
      </c>
      <c r="BG4" s="409">
        <v>45.731771133336643</v>
      </c>
      <c r="BH4" s="409">
        <v>0</v>
      </c>
      <c r="BI4" s="409">
        <v>0</v>
      </c>
      <c r="BJ4" s="409">
        <v>0</v>
      </c>
      <c r="BK4" s="409">
        <v>0</v>
      </c>
      <c r="BL4" s="409">
        <v>6</v>
      </c>
      <c r="BM4" s="409"/>
      <c r="BN4" s="409"/>
      <c r="BO4" s="409"/>
      <c r="BP4" s="409"/>
      <c r="BQ4" s="409"/>
      <c r="BR4" s="409"/>
      <c r="BS4" s="409"/>
      <c r="BT4" s="409"/>
      <c r="BU4" s="409"/>
      <c r="BV4" s="409">
        <v>382.82310518307895</v>
      </c>
      <c r="BW4" s="409"/>
      <c r="BX4" s="409"/>
      <c r="BY4" s="409"/>
      <c r="BZ4" s="409"/>
      <c r="CA4" s="409"/>
      <c r="CB4" s="409"/>
      <c r="CC4" s="409"/>
      <c r="CD4" s="409"/>
      <c r="CE4" s="409"/>
      <c r="CF4" s="409"/>
      <c r="CG4" s="409"/>
      <c r="CH4" s="409"/>
      <c r="CI4" s="409">
        <v>1058.1791999999998</v>
      </c>
      <c r="CJ4" s="409">
        <v>-105.80480000000011</v>
      </c>
      <c r="CK4" s="409"/>
      <c r="CL4" s="409"/>
      <c r="CM4" s="409"/>
      <c r="CN4" s="409"/>
      <c r="CO4" s="409">
        <v>-121.29829999999998</v>
      </c>
      <c r="CP4" s="409">
        <v>11.717100000000011</v>
      </c>
      <c r="CQ4" s="409">
        <v>31</v>
      </c>
      <c r="CR4" s="409">
        <v>20.600244870030679</v>
      </c>
      <c r="CS4" s="409">
        <v>0</v>
      </c>
      <c r="CT4" s="409">
        <v>0</v>
      </c>
      <c r="CU4" s="409">
        <v>0</v>
      </c>
      <c r="CV4" s="409">
        <v>0</v>
      </c>
      <c r="CW4" s="409">
        <v>0</v>
      </c>
      <c r="CX4" s="409">
        <v>0</v>
      </c>
      <c r="CY4" s="409">
        <v>0</v>
      </c>
      <c r="CZ4" s="409">
        <v>6.0849843708495825</v>
      </c>
      <c r="DA4" s="409">
        <v>0</v>
      </c>
      <c r="DB4" s="409">
        <v>0</v>
      </c>
      <c r="DC4" s="409">
        <v>15.442122579933937</v>
      </c>
      <c r="DD4" s="409">
        <v>0</v>
      </c>
      <c r="DE4" s="409">
        <v>0</v>
      </c>
      <c r="DF4" s="409">
        <v>0</v>
      </c>
      <c r="DG4" s="409">
        <v>2.0949681712500876</v>
      </c>
      <c r="DH4" s="409">
        <v>0</v>
      </c>
      <c r="DI4" s="409">
        <v>-0.25133904284447084</v>
      </c>
      <c r="DJ4" s="409"/>
      <c r="DK4" s="409">
        <v>0</v>
      </c>
      <c r="DL4" s="409">
        <v>0</v>
      </c>
      <c r="DM4" s="409">
        <v>0</v>
      </c>
      <c r="DN4" s="409">
        <v>0</v>
      </c>
      <c r="DO4" s="409">
        <v>-7.8919869187743075E-2</v>
      </c>
      <c r="DP4" s="409">
        <v>-0.14006431731648217</v>
      </c>
      <c r="DQ4" s="409">
        <v>0</v>
      </c>
      <c r="DR4" s="409">
        <v>-2.5515070226541279</v>
      </c>
      <c r="DS4" s="409"/>
      <c r="DT4" s="409"/>
      <c r="DU4" s="409"/>
      <c r="DV4" s="409">
        <v>567.90335679655004</v>
      </c>
      <c r="DW4" s="409">
        <v>0</v>
      </c>
      <c r="DX4" s="409">
        <v>0</v>
      </c>
      <c r="DY4" s="409">
        <v>-121.29829999999993</v>
      </c>
      <c r="DZ4" s="409">
        <v>11.717100000000016</v>
      </c>
      <c r="EA4" s="409">
        <v>0</v>
      </c>
      <c r="EB4" s="409">
        <v>0</v>
      </c>
      <c r="EC4" s="409">
        <v>-130.17680330739466</v>
      </c>
      <c r="ED4" s="409">
        <v>0</v>
      </c>
      <c r="EE4" s="409">
        <v>0</v>
      </c>
      <c r="EF4" s="409">
        <v>0</v>
      </c>
      <c r="EG4" s="409">
        <v>0</v>
      </c>
      <c r="EH4" s="409">
        <v>0</v>
      </c>
      <c r="EI4" s="409">
        <v>0</v>
      </c>
      <c r="EJ4" s="409">
        <v>0</v>
      </c>
      <c r="EK4" s="409">
        <v>0</v>
      </c>
      <c r="EL4" s="409">
        <v>0</v>
      </c>
      <c r="EM4" s="409">
        <v>0</v>
      </c>
      <c r="EN4" s="409">
        <v>0</v>
      </c>
      <c r="EO4" s="409">
        <v>0</v>
      </c>
      <c r="EP4" s="409">
        <v>0</v>
      </c>
      <c r="EQ4" s="409">
        <v>0</v>
      </c>
      <c r="ER4" s="409">
        <v>0</v>
      </c>
      <c r="ES4" s="409">
        <v>0</v>
      </c>
      <c r="ET4" s="409">
        <v>0</v>
      </c>
      <c r="EU4" s="409">
        <v>0</v>
      </c>
      <c r="EV4" s="409">
        <v>254</v>
      </c>
      <c r="EW4" s="409">
        <v>0</v>
      </c>
      <c r="EX4" s="409">
        <v>0</v>
      </c>
      <c r="EY4" s="409">
        <v>0</v>
      </c>
      <c r="EZ4" s="409"/>
      <c r="FA4" s="409">
        <v>0</v>
      </c>
      <c r="FB4" s="409"/>
      <c r="FC4" s="409"/>
      <c r="FD4" s="409"/>
      <c r="FE4" s="409"/>
      <c r="FF4" s="409">
        <v>0</v>
      </c>
      <c r="FG4" s="409">
        <v>0</v>
      </c>
      <c r="FH4" s="409">
        <v>0</v>
      </c>
      <c r="FI4" s="409">
        <v>0</v>
      </c>
    </row>
    <row r="5" spans="1:165" customFormat="1">
      <c r="A5" s="409">
        <v>3</v>
      </c>
      <c r="B5" s="409" t="s">
        <v>1035</v>
      </c>
      <c r="C5" s="409" t="s">
        <v>2244</v>
      </c>
      <c r="D5" s="409" t="s">
        <v>1991</v>
      </c>
      <c r="E5" s="409" t="s">
        <v>968</v>
      </c>
      <c r="F5" s="409" t="s">
        <v>2247</v>
      </c>
      <c r="G5" s="409" t="s">
        <v>1323</v>
      </c>
      <c r="H5" s="409" t="s">
        <v>1323</v>
      </c>
      <c r="I5" s="409" t="s">
        <v>1323</v>
      </c>
      <c r="J5" s="409" t="s">
        <v>2245</v>
      </c>
      <c r="K5" s="835">
        <v>44317</v>
      </c>
      <c r="L5" s="409">
        <v>0</v>
      </c>
      <c r="M5" s="409">
        <v>0</v>
      </c>
      <c r="N5" s="409">
        <v>59.46</v>
      </c>
      <c r="O5" s="409">
        <v>59.46</v>
      </c>
      <c r="P5" s="409">
        <v>59.46</v>
      </c>
      <c r="Q5" s="409">
        <v>59.46</v>
      </c>
      <c r="R5" s="409"/>
      <c r="S5" s="409">
        <v>561.96</v>
      </c>
      <c r="T5" s="409">
        <v>243.39</v>
      </c>
      <c r="U5" s="409"/>
      <c r="V5" s="409">
        <v>47886.111000000004</v>
      </c>
      <c r="W5" s="409">
        <v>47886.111000000004</v>
      </c>
      <c r="X5" s="409">
        <v>43192.933199999999</v>
      </c>
      <c r="Y5" s="409">
        <v>0</v>
      </c>
      <c r="Z5" s="409">
        <v>0</v>
      </c>
      <c r="AA5" s="409">
        <v>0</v>
      </c>
      <c r="AB5" s="409">
        <v>0</v>
      </c>
      <c r="AC5" s="409">
        <v>0</v>
      </c>
      <c r="AD5" s="409">
        <v>6968.0618411583509</v>
      </c>
      <c r="AE5" s="409">
        <v>24380.890682399178</v>
      </c>
      <c r="AF5" s="409">
        <v>14471.8055758828</v>
      </c>
      <c r="AG5" s="409">
        <v>0</v>
      </c>
      <c r="AH5" s="409">
        <v>0</v>
      </c>
      <c r="AI5" s="409">
        <v>0</v>
      </c>
      <c r="AJ5" s="409">
        <v>0</v>
      </c>
      <c r="AK5" s="409">
        <v>0</v>
      </c>
      <c r="AL5" s="409">
        <v>0</v>
      </c>
      <c r="AM5" s="409"/>
      <c r="AN5" s="409">
        <v>102.08517464254712</v>
      </c>
      <c r="AO5" s="409">
        <v>0</v>
      </c>
      <c r="AP5" s="409">
        <v>0</v>
      </c>
      <c r="AQ5" s="409">
        <v>0</v>
      </c>
      <c r="AR5" s="409">
        <v>0</v>
      </c>
      <c r="AS5" s="409">
        <v>0</v>
      </c>
      <c r="AT5" s="409">
        <v>0</v>
      </c>
      <c r="AU5" s="409">
        <v>0</v>
      </c>
      <c r="AV5" s="409">
        <v>0</v>
      </c>
      <c r="AW5" s="409">
        <v>0</v>
      </c>
      <c r="AX5" s="409">
        <v>0</v>
      </c>
      <c r="AY5" s="409">
        <v>0</v>
      </c>
      <c r="AZ5" s="409">
        <v>0</v>
      </c>
      <c r="BA5" s="409"/>
      <c r="BB5" s="409">
        <v>0</v>
      </c>
      <c r="BC5" s="409">
        <v>0</v>
      </c>
      <c r="BD5" s="409">
        <v>0</v>
      </c>
      <c r="BE5" s="409">
        <v>0</v>
      </c>
      <c r="BF5" s="409">
        <v>0</v>
      </c>
      <c r="BG5" s="409">
        <v>1963.3293224463514</v>
      </c>
      <c r="BH5" s="409">
        <v>0</v>
      </c>
      <c r="BI5" s="409">
        <v>0</v>
      </c>
      <c r="BJ5" s="409">
        <v>0</v>
      </c>
      <c r="BK5" s="409">
        <v>0</v>
      </c>
      <c r="BL5" s="409">
        <v>128</v>
      </c>
      <c r="BM5" s="409"/>
      <c r="BN5" s="409"/>
      <c r="BO5" s="409"/>
      <c r="BP5" s="409"/>
      <c r="BQ5" s="409"/>
      <c r="BR5" s="409"/>
      <c r="BS5" s="409"/>
      <c r="BT5" s="409">
        <v>28075.228200000001</v>
      </c>
      <c r="BU5" s="409"/>
      <c r="BV5" s="409">
        <v>16435.13489832915</v>
      </c>
      <c r="BW5" s="409"/>
      <c r="BX5" s="409"/>
      <c r="BY5" s="409"/>
      <c r="BZ5" s="409"/>
      <c r="CA5" s="409"/>
      <c r="CB5" s="409"/>
      <c r="CC5" s="409"/>
      <c r="CD5" s="409"/>
      <c r="CE5" s="409"/>
      <c r="CF5" s="409"/>
      <c r="CG5" s="409"/>
      <c r="CH5" s="409"/>
      <c r="CI5" s="409">
        <v>15117.705000000002</v>
      </c>
      <c r="CJ5" s="409">
        <v>-1642.9097999999976</v>
      </c>
      <c r="CK5" s="409"/>
      <c r="CL5" s="409"/>
      <c r="CM5" s="409"/>
      <c r="CN5" s="409"/>
      <c r="CO5" s="409">
        <v>-5196.2094000000025</v>
      </c>
      <c r="CP5" s="409">
        <v>503.03160000000048</v>
      </c>
      <c r="CQ5" s="409">
        <v>31</v>
      </c>
      <c r="CR5" s="409">
        <v>895.63443513299717</v>
      </c>
      <c r="CS5" s="409">
        <v>0</v>
      </c>
      <c r="CT5" s="409">
        <v>0</v>
      </c>
      <c r="CU5" s="409">
        <v>0</v>
      </c>
      <c r="CV5" s="409">
        <v>0</v>
      </c>
      <c r="CW5" s="409">
        <v>0</v>
      </c>
      <c r="CX5" s="409">
        <v>0</v>
      </c>
      <c r="CY5" s="409">
        <v>0</v>
      </c>
      <c r="CZ5" s="409">
        <v>261.23694634708681</v>
      </c>
      <c r="DA5" s="409">
        <v>0</v>
      </c>
      <c r="DB5" s="409">
        <v>0</v>
      </c>
      <c r="DC5" s="409">
        <v>662.95206397319453</v>
      </c>
      <c r="DD5" s="409">
        <v>0</v>
      </c>
      <c r="DE5" s="409">
        <v>0</v>
      </c>
      <c r="DF5" s="409">
        <v>0</v>
      </c>
      <c r="DG5" s="409">
        <v>89.939933185942209</v>
      </c>
      <c r="DH5" s="409">
        <v>0</v>
      </c>
      <c r="DI5" s="409">
        <v>0</v>
      </c>
      <c r="DJ5" s="409"/>
      <c r="DK5" s="409">
        <v>0</v>
      </c>
      <c r="DL5" s="409">
        <v>0</v>
      </c>
      <c r="DM5" s="409">
        <v>0</v>
      </c>
      <c r="DN5" s="409">
        <v>0</v>
      </c>
      <c r="DO5" s="409">
        <v>0</v>
      </c>
      <c r="DP5" s="409">
        <v>-6.013158344865019</v>
      </c>
      <c r="DQ5" s="409">
        <v>0</v>
      </c>
      <c r="DR5" s="409">
        <v>-112.48135002836351</v>
      </c>
      <c r="DS5" s="409"/>
      <c r="DT5" s="409"/>
      <c r="DU5" s="409"/>
      <c r="DV5" s="409">
        <v>24380.890682399178</v>
      </c>
      <c r="DW5" s="409">
        <v>0</v>
      </c>
      <c r="DX5" s="409">
        <v>0</v>
      </c>
      <c r="DY5" s="409">
        <v>-5196.2094000000034</v>
      </c>
      <c r="DZ5" s="409">
        <v>503.03160000000025</v>
      </c>
      <c r="EA5" s="409">
        <v>0</v>
      </c>
      <c r="EB5" s="409">
        <v>0</v>
      </c>
      <c r="EC5" s="409">
        <v>-5588.6734474062687</v>
      </c>
      <c r="ED5" s="409">
        <v>0</v>
      </c>
      <c r="EE5" s="409">
        <v>0</v>
      </c>
      <c r="EF5" s="409">
        <v>0</v>
      </c>
      <c r="EG5" s="409">
        <v>0</v>
      </c>
      <c r="EH5" s="409">
        <v>0</v>
      </c>
      <c r="EI5" s="409">
        <v>0</v>
      </c>
      <c r="EJ5" s="409">
        <v>0</v>
      </c>
      <c r="EK5" s="409">
        <v>0</v>
      </c>
      <c r="EL5" s="409">
        <v>0</v>
      </c>
      <c r="EM5" s="409">
        <v>0</v>
      </c>
      <c r="EN5" s="409">
        <v>0</v>
      </c>
      <c r="EO5" s="409">
        <v>0</v>
      </c>
      <c r="EP5" s="409">
        <v>0</v>
      </c>
      <c r="EQ5" s="409">
        <v>0</v>
      </c>
      <c r="ER5" s="409">
        <v>0</v>
      </c>
      <c r="ES5" s="409">
        <v>0</v>
      </c>
      <c r="ET5" s="409">
        <v>0</v>
      </c>
      <c r="EU5" s="409">
        <v>0</v>
      </c>
      <c r="EV5" s="409">
        <v>254</v>
      </c>
      <c r="EW5" s="409">
        <v>0</v>
      </c>
      <c r="EX5" s="409">
        <v>0</v>
      </c>
      <c r="EY5" s="409">
        <v>0</v>
      </c>
      <c r="EZ5" s="409"/>
      <c r="FA5" s="409">
        <v>0</v>
      </c>
      <c r="FB5" s="409"/>
      <c r="FC5" s="409"/>
      <c r="FD5" s="409"/>
      <c r="FE5" s="409"/>
      <c r="FF5" s="409">
        <v>0</v>
      </c>
      <c r="FG5" s="409">
        <v>0</v>
      </c>
      <c r="FH5" s="409">
        <v>0</v>
      </c>
      <c r="FI5" s="409">
        <v>0</v>
      </c>
    </row>
    <row r="6" spans="1:165" customFormat="1">
      <c r="A6" s="409">
        <v>4</v>
      </c>
      <c r="B6" s="409" t="s">
        <v>1035</v>
      </c>
      <c r="C6" s="409" t="s">
        <v>2244</v>
      </c>
      <c r="D6" s="409" t="s">
        <v>1991</v>
      </c>
      <c r="E6" s="409" t="s">
        <v>968</v>
      </c>
      <c r="F6" s="409" t="s">
        <v>2248</v>
      </c>
      <c r="G6" s="409" t="s">
        <v>1323</v>
      </c>
      <c r="H6" s="409" t="s">
        <v>1323</v>
      </c>
      <c r="I6" s="409" t="s">
        <v>1323</v>
      </c>
      <c r="J6" s="409" t="s">
        <v>2245</v>
      </c>
      <c r="K6" s="835">
        <v>44317</v>
      </c>
      <c r="L6" s="409">
        <v>0</v>
      </c>
      <c r="M6" s="409">
        <v>0</v>
      </c>
      <c r="N6" s="409">
        <v>94.608000000000004</v>
      </c>
      <c r="O6" s="409">
        <v>94.608000000000004</v>
      </c>
      <c r="P6" s="409">
        <v>94.608000000000004</v>
      </c>
      <c r="Q6" s="409">
        <v>94.608000000000004</v>
      </c>
      <c r="R6" s="409"/>
      <c r="S6" s="409">
        <v>561.96</v>
      </c>
      <c r="T6" s="409">
        <v>243.39</v>
      </c>
      <c r="U6" s="409"/>
      <c r="V6" s="409">
        <v>76192.552800000005</v>
      </c>
      <c r="W6" s="409">
        <v>76192.552800000005</v>
      </c>
      <c r="X6" s="409">
        <v>68725.143360000002</v>
      </c>
      <c r="Y6" s="409">
        <v>0</v>
      </c>
      <c r="Z6" s="409">
        <v>0</v>
      </c>
      <c r="AA6" s="409">
        <v>0</v>
      </c>
      <c r="AB6" s="409">
        <v>0</v>
      </c>
      <c r="AC6" s="409">
        <v>0</v>
      </c>
      <c r="AD6" s="409">
        <v>11087.023119211392</v>
      </c>
      <c r="AE6" s="409">
        <v>38792.924750763901</v>
      </c>
      <c r="AF6" s="409">
        <v>23026.380456157418</v>
      </c>
      <c r="AG6" s="409">
        <v>0</v>
      </c>
      <c r="AH6" s="409">
        <v>0</v>
      </c>
      <c r="AI6" s="409">
        <v>0</v>
      </c>
      <c r="AJ6" s="409">
        <v>0</v>
      </c>
      <c r="AK6" s="409">
        <v>0</v>
      </c>
      <c r="AL6" s="409">
        <v>0</v>
      </c>
      <c r="AM6" s="409"/>
      <c r="AN6" s="409">
        <v>162.42977131823238</v>
      </c>
      <c r="AO6" s="409">
        <v>0</v>
      </c>
      <c r="AP6" s="409">
        <v>0</v>
      </c>
      <c r="AQ6" s="409">
        <v>0</v>
      </c>
      <c r="AR6" s="409">
        <v>0</v>
      </c>
      <c r="AS6" s="409">
        <v>0</v>
      </c>
      <c r="AT6" s="409">
        <v>0</v>
      </c>
      <c r="AU6" s="409">
        <v>0</v>
      </c>
      <c r="AV6" s="409">
        <v>0</v>
      </c>
      <c r="AW6" s="409">
        <v>0</v>
      </c>
      <c r="AX6" s="409">
        <v>0</v>
      </c>
      <c r="AY6" s="409">
        <v>0</v>
      </c>
      <c r="AZ6" s="409">
        <v>0</v>
      </c>
      <c r="BA6" s="409"/>
      <c r="BB6" s="409">
        <v>0</v>
      </c>
      <c r="BC6" s="409">
        <v>0</v>
      </c>
      <c r="BD6" s="409">
        <v>0</v>
      </c>
      <c r="BE6" s="409">
        <v>0</v>
      </c>
      <c r="BF6" s="409">
        <v>0</v>
      </c>
      <c r="BG6" s="409">
        <v>3123.8927100236197</v>
      </c>
      <c r="BH6" s="409">
        <v>0</v>
      </c>
      <c r="BI6" s="409">
        <v>0</v>
      </c>
      <c r="BJ6" s="409">
        <v>0</v>
      </c>
      <c r="BK6" s="409">
        <v>0</v>
      </c>
      <c r="BL6" s="409">
        <v>1169</v>
      </c>
      <c r="BM6" s="409"/>
      <c r="BN6" s="409"/>
      <c r="BO6" s="409"/>
      <c r="BP6" s="409"/>
      <c r="BQ6" s="409"/>
      <c r="BR6" s="409"/>
      <c r="BS6" s="409"/>
      <c r="BT6" s="409">
        <v>27490.24656</v>
      </c>
      <c r="BU6" s="409"/>
      <c r="BV6" s="409">
        <v>26150.273166181039</v>
      </c>
      <c r="BW6" s="409"/>
      <c r="BX6" s="409"/>
      <c r="BY6" s="409"/>
      <c r="BZ6" s="409"/>
      <c r="CA6" s="409"/>
      <c r="CB6" s="409"/>
      <c r="CC6" s="409"/>
      <c r="CD6" s="409"/>
      <c r="CE6" s="409"/>
      <c r="CF6" s="409"/>
      <c r="CG6" s="409"/>
      <c r="CH6" s="409"/>
      <c r="CI6" s="409">
        <v>41235.768500000006</v>
      </c>
      <c r="CJ6" s="409">
        <v>-4479.7931800000006</v>
      </c>
      <c r="CK6" s="409"/>
      <c r="CL6" s="409"/>
      <c r="CM6" s="409"/>
      <c r="CN6" s="409"/>
      <c r="CO6" s="409">
        <v>-8267.7931200000039</v>
      </c>
      <c r="CP6" s="409">
        <v>800.38368000000082</v>
      </c>
      <c r="CQ6" s="409">
        <v>31</v>
      </c>
      <c r="CR6" s="409">
        <v>1425.0619347302709</v>
      </c>
      <c r="CS6" s="409">
        <v>0</v>
      </c>
      <c r="CT6" s="409">
        <v>0</v>
      </c>
      <c r="CU6" s="409">
        <v>0</v>
      </c>
      <c r="CV6" s="409">
        <v>0</v>
      </c>
      <c r="CW6" s="409">
        <v>0</v>
      </c>
      <c r="CX6" s="409">
        <v>0</v>
      </c>
      <c r="CY6" s="409">
        <v>0</v>
      </c>
      <c r="CZ6" s="409">
        <v>415.65935116053151</v>
      </c>
      <c r="DA6" s="409">
        <v>0</v>
      </c>
      <c r="DB6" s="409">
        <v>0</v>
      </c>
      <c r="DC6" s="409">
        <v>1054.8363415468521</v>
      </c>
      <c r="DD6" s="409">
        <v>0</v>
      </c>
      <c r="DE6" s="409">
        <v>0</v>
      </c>
      <c r="DF6" s="409">
        <v>0</v>
      </c>
      <c r="DG6" s="409">
        <v>143.10523375135608</v>
      </c>
      <c r="DH6" s="409">
        <v>0</v>
      </c>
      <c r="DI6" s="409">
        <v>0</v>
      </c>
      <c r="DJ6" s="409"/>
      <c r="DK6" s="409">
        <v>0</v>
      </c>
      <c r="DL6" s="409">
        <v>0</v>
      </c>
      <c r="DM6" s="409">
        <v>0</v>
      </c>
      <c r="DN6" s="409">
        <v>0</v>
      </c>
      <c r="DO6" s="409">
        <v>0</v>
      </c>
      <c r="DP6" s="409">
        <v>-9.5676569911030924</v>
      </c>
      <c r="DQ6" s="409">
        <v>0</v>
      </c>
      <c r="DR6" s="409">
        <v>-178.97133473735983</v>
      </c>
      <c r="DS6" s="409"/>
      <c r="DT6" s="409"/>
      <c r="DU6" s="409"/>
      <c r="DV6" s="409">
        <v>38792.924750763901</v>
      </c>
      <c r="DW6" s="409">
        <v>0</v>
      </c>
      <c r="DX6" s="409">
        <v>0</v>
      </c>
      <c r="DY6" s="409">
        <v>-8267.7931200000021</v>
      </c>
      <c r="DZ6" s="409">
        <v>800.383679999999</v>
      </c>
      <c r="EA6" s="409">
        <v>0</v>
      </c>
      <c r="EB6" s="409">
        <v>0</v>
      </c>
      <c r="EC6" s="409">
        <v>-8892.2505467913288</v>
      </c>
      <c r="ED6" s="409">
        <v>0</v>
      </c>
      <c r="EE6" s="409">
        <v>0</v>
      </c>
      <c r="EF6" s="409">
        <v>0</v>
      </c>
      <c r="EG6" s="409">
        <v>0</v>
      </c>
      <c r="EH6" s="409">
        <v>0</v>
      </c>
      <c r="EI6" s="409">
        <v>0</v>
      </c>
      <c r="EJ6" s="409">
        <v>0</v>
      </c>
      <c r="EK6" s="409">
        <v>0</v>
      </c>
      <c r="EL6" s="409">
        <v>0</v>
      </c>
      <c r="EM6" s="409">
        <v>0</v>
      </c>
      <c r="EN6" s="409">
        <v>0</v>
      </c>
      <c r="EO6" s="409">
        <v>0</v>
      </c>
      <c r="EP6" s="409">
        <v>0</v>
      </c>
      <c r="EQ6" s="409">
        <v>0</v>
      </c>
      <c r="ER6" s="409">
        <v>0</v>
      </c>
      <c r="ES6" s="409">
        <v>0</v>
      </c>
      <c r="ET6" s="409">
        <v>0</v>
      </c>
      <c r="EU6" s="409">
        <v>0</v>
      </c>
      <c r="EV6" s="409">
        <v>254</v>
      </c>
      <c r="EW6" s="409">
        <v>0</v>
      </c>
      <c r="EX6" s="409">
        <v>0</v>
      </c>
      <c r="EY6" s="409">
        <v>0</v>
      </c>
      <c r="EZ6" s="409"/>
      <c r="FA6" s="409">
        <v>0</v>
      </c>
      <c r="FB6" s="409"/>
      <c r="FC6" s="409"/>
      <c r="FD6" s="409"/>
      <c r="FE6" s="409"/>
      <c r="FF6" s="409">
        <v>0</v>
      </c>
      <c r="FG6" s="409">
        <v>0</v>
      </c>
      <c r="FH6" s="409">
        <v>0</v>
      </c>
      <c r="FI6" s="409">
        <v>0</v>
      </c>
    </row>
    <row r="7" spans="1:165" customFormat="1">
      <c r="A7" s="409">
        <v>5</v>
      </c>
      <c r="B7" s="409" t="s">
        <v>1035</v>
      </c>
      <c r="C7" s="409" t="s">
        <v>2244</v>
      </c>
      <c r="D7" s="409" t="s">
        <v>1991</v>
      </c>
      <c r="E7" s="409" t="s">
        <v>968</v>
      </c>
      <c r="F7" s="409" t="s">
        <v>2249</v>
      </c>
      <c r="G7" s="409" t="s">
        <v>1323</v>
      </c>
      <c r="H7" s="409" t="s">
        <v>1323</v>
      </c>
      <c r="I7" s="409" t="s">
        <v>1323</v>
      </c>
      <c r="J7" s="409" t="s">
        <v>2245</v>
      </c>
      <c r="K7" s="835">
        <v>44317</v>
      </c>
      <c r="L7" s="409">
        <v>0</v>
      </c>
      <c r="M7" s="409">
        <v>0</v>
      </c>
      <c r="N7" s="409">
        <v>31.216000000000001</v>
      </c>
      <c r="O7" s="409">
        <v>31.216000000000001</v>
      </c>
      <c r="P7" s="409">
        <v>31.216000000000001</v>
      </c>
      <c r="Q7" s="409">
        <v>31.216000000000001</v>
      </c>
      <c r="R7" s="409"/>
      <c r="S7" s="409">
        <v>561.96</v>
      </c>
      <c r="T7" s="409">
        <v>243.39</v>
      </c>
      <c r="U7" s="409"/>
      <c r="V7" s="409">
        <v>25139.8056</v>
      </c>
      <c r="W7" s="409">
        <v>25139.8056</v>
      </c>
      <c r="X7" s="409">
        <v>22675.926719999999</v>
      </c>
      <c r="Y7" s="409">
        <v>0</v>
      </c>
      <c r="Z7" s="409">
        <v>0</v>
      </c>
      <c r="AA7" s="409">
        <v>0</v>
      </c>
      <c r="AB7" s="409">
        <v>0</v>
      </c>
      <c r="AC7" s="409">
        <v>0</v>
      </c>
      <c r="AD7" s="409">
        <v>3658.1738720753297</v>
      </c>
      <c r="AE7" s="409">
        <v>12799.762588997188</v>
      </c>
      <c r="AF7" s="409">
        <v>7597.5762337160695</v>
      </c>
      <c r="AG7" s="409">
        <v>0</v>
      </c>
      <c r="AH7" s="409">
        <v>0</v>
      </c>
      <c r="AI7" s="409">
        <v>0</v>
      </c>
      <c r="AJ7" s="409">
        <v>0</v>
      </c>
      <c r="AK7" s="409">
        <v>0</v>
      </c>
      <c r="AL7" s="409">
        <v>0</v>
      </c>
      <c r="AM7" s="409"/>
      <c r="AN7" s="409">
        <v>53.593858251627154</v>
      </c>
      <c r="AO7" s="409">
        <v>0</v>
      </c>
      <c r="AP7" s="409">
        <v>0</v>
      </c>
      <c r="AQ7" s="409">
        <v>0</v>
      </c>
      <c r="AR7" s="409">
        <v>0</v>
      </c>
      <c r="AS7" s="409">
        <v>0</v>
      </c>
      <c r="AT7" s="409">
        <v>0</v>
      </c>
      <c r="AU7" s="409">
        <v>0</v>
      </c>
      <c r="AV7" s="409">
        <v>0</v>
      </c>
      <c r="AW7" s="409">
        <v>0</v>
      </c>
      <c r="AX7" s="409">
        <v>0</v>
      </c>
      <c r="AY7" s="409">
        <v>0</v>
      </c>
      <c r="AZ7" s="409">
        <v>0</v>
      </c>
      <c r="BA7" s="409"/>
      <c r="BB7" s="409">
        <v>0</v>
      </c>
      <c r="BC7" s="409">
        <v>0</v>
      </c>
      <c r="BD7" s="409">
        <v>0</v>
      </c>
      <c r="BE7" s="409">
        <v>0</v>
      </c>
      <c r="BF7" s="409">
        <v>0</v>
      </c>
      <c r="BG7" s="409">
        <v>1030.7313846196655</v>
      </c>
      <c r="BH7" s="409">
        <v>0</v>
      </c>
      <c r="BI7" s="409">
        <v>0</v>
      </c>
      <c r="BJ7" s="409">
        <v>0</v>
      </c>
      <c r="BK7" s="409">
        <v>0</v>
      </c>
      <c r="BL7" s="409">
        <v>630</v>
      </c>
      <c r="BM7" s="409"/>
      <c r="BN7" s="409"/>
      <c r="BO7" s="409"/>
      <c r="BP7" s="409"/>
      <c r="BQ7" s="409"/>
      <c r="BR7" s="409"/>
      <c r="BS7" s="409"/>
      <c r="BT7" s="409">
        <v>2267.5302399999996</v>
      </c>
      <c r="BU7" s="409"/>
      <c r="BV7" s="409">
        <v>8628.3076183357352</v>
      </c>
      <c r="BW7" s="409"/>
      <c r="BX7" s="409"/>
      <c r="BY7" s="409"/>
      <c r="BZ7" s="409"/>
      <c r="CA7" s="409"/>
      <c r="CB7" s="409"/>
      <c r="CC7" s="409"/>
      <c r="CD7" s="409"/>
      <c r="CE7" s="409"/>
      <c r="CF7" s="409"/>
      <c r="CG7" s="409"/>
      <c r="CH7" s="409"/>
      <c r="CI7" s="409">
        <v>20411.011599999998</v>
      </c>
      <c r="CJ7" s="409">
        <v>-2214.9995200000012</v>
      </c>
      <c r="CK7" s="409"/>
      <c r="CL7" s="409"/>
      <c r="CM7" s="409"/>
      <c r="CN7" s="409"/>
      <c r="CO7" s="409">
        <v>-2727.9662400000016</v>
      </c>
      <c r="CP7" s="409">
        <v>264.08736000000027</v>
      </c>
      <c r="CQ7" s="409">
        <v>31</v>
      </c>
      <c r="CR7" s="409">
        <v>470.20054704190261</v>
      </c>
      <c r="CS7" s="409">
        <v>0</v>
      </c>
      <c r="CT7" s="409">
        <v>0</v>
      </c>
      <c r="CU7" s="409">
        <v>0</v>
      </c>
      <c r="CV7" s="409">
        <v>0</v>
      </c>
      <c r="CW7" s="409">
        <v>0</v>
      </c>
      <c r="CX7" s="409">
        <v>0</v>
      </c>
      <c r="CY7" s="409">
        <v>0</v>
      </c>
      <c r="CZ7" s="409">
        <v>137.14720008696031</v>
      </c>
      <c r="DA7" s="409">
        <v>0</v>
      </c>
      <c r="DB7" s="409">
        <v>0</v>
      </c>
      <c r="DC7" s="409">
        <v>348.04425881243242</v>
      </c>
      <c r="DD7" s="409">
        <v>0</v>
      </c>
      <c r="DE7" s="409">
        <v>0</v>
      </c>
      <c r="DF7" s="409">
        <v>0</v>
      </c>
      <c r="DG7" s="409">
        <v>47.217708616420623</v>
      </c>
      <c r="DH7" s="409">
        <v>0</v>
      </c>
      <c r="DI7" s="409">
        <v>0</v>
      </c>
      <c r="DJ7" s="409"/>
      <c r="DK7" s="409">
        <v>0</v>
      </c>
      <c r="DL7" s="409">
        <v>0</v>
      </c>
      <c r="DM7" s="409">
        <v>0</v>
      </c>
      <c r="DN7" s="409">
        <v>0</v>
      </c>
      <c r="DO7" s="409">
        <v>0</v>
      </c>
      <c r="DP7" s="409">
        <v>-3.1568575663186351</v>
      </c>
      <c r="DQ7" s="409">
        <v>0</v>
      </c>
      <c r="DR7" s="409">
        <v>-59.051762907591581</v>
      </c>
      <c r="DS7" s="409"/>
      <c r="DT7" s="409"/>
      <c r="DU7" s="409"/>
      <c r="DV7" s="409">
        <v>12799.762588997188</v>
      </c>
      <c r="DW7" s="409">
        <v>0</v>
      </c>
      <c r="DX7" s="409">
        <v>0</v>
      </c>
      <c r="DY7" s="409">
        <v>-2727.9662400000016</v>
      </c>
      <c r="DZ7" s="409">
        <v>264.08736000000044</v>
      </c>
      <c r="EA7" s="409">
        <v>0</v>
      </c>
      <c r="EB7" s="409">
        <v>0</v>
      </c>
      <c r="EC7" s="409">
        <v>-2934.0065646524399</v>
      </c>
      <c r="ED7" s="409">
        <v>0</v>
      </c>
      <c r="EE7" s="409">
        <v>0</v>
      </c>
      <c r="EF7" s="409">
        <v>0</v>
      </c>
      <c r="EG7" s="409">
        <v>0</v>
      </c>
      <c r="EH7" s="409">
        <v>0</v>
      </c>
      <c r="EI7" s="409">
        <v>0</v>
      </c>
      <c r="EJ7" s="409">
        <v>0</v>
      </c>
      <c r="EK7" s="409">
        <v>0</v>
      </c>
      <c r="EL7" s="409">
        <v>0</v>
      </c>
      <c r="EM7" s="409">
        <v>0</v>
      </c>
      <c r="EN7" s="409">
        <v>0</v>
      </c>
      <c r="EO7" s="409">
        <v>0</v>
      </c>
      <c r="EP7" s="409">
        <v>0</v>
      </c>
      <c r="EQ7" s="409">
        <v>0</v>
      </c>
      <c r="ER7" s="409">
        <v>0</v>
      </c>
      <c r="ES7" s="409">
        <v>0</v>
      </c>
      <c r="ET7" s="409">
        <v>0</v>
      </c>
      <c r="EU7" s="409">
        <v>0</v>
      </c>
      <c r="EV7" s="409">
        <v>254</v>
      </c>
      <c r="EW7" s="409">
        <v>0</v>
      </c>
      <c r="EX7" s="409">
        <v>0</v>
      </c>
      <c r="EY7" s="409">
        <v>0</v>
      </c>
      <c r="EZ7" s="409"/>
      <c r="FA7" s="409">
        <v>0</v>
      </c>
      <c r="FB7" s="409"/>
      <c r="FC7" s="409"/>
      <c r="FD7" s="409"/>
      <c r="FE7" s="409"/>
      <c r="FF7" s="409">
        <v>0</v>
      </c>
      <c r="FG7" s="409">
        <v>0</v>
      </c>
      <c r="FH7" s="409">
        <v>0</v>
      </c>
      <c r="FI7" s="409">
        <v>0</v>
      </c>
    </row>
    <row r="8" spans="1:165" customFormat="1">
      <c r="A8" s="409">
        <v>6</v>
      </c>
      <c r="B8" s="409" t="s">
        <v>1035</v>
      </c>
      <c r="C8" s="409" t="s">
        <v>2244</v>
      </c>
      <c r="D8" s="409" t="s">
        <v>1991</v>
      </c>
      <c r="E8" s="409" t="s">
        <v>968</v>
      </c>
      <c r="F8" s="409" t="s">
        <v>2250</v>
      </c>
      <c r="G8" s="409" t="s">
        <v>1323</v>
      </c>
      <c r="H8" s="409" t="s">
        <v>1323</v>
      </c>
      <c r="I8" s="409" t="s">
        <v>1323</v>
      </c>
      <c r="J8" s="409" t="s">
        <v>2245</v>
      </c>
      <c r="K8" s="835">
        <v>44317</v>
      </c>
      <c r="L8" s="409">
        <v>0</v>
      </c>
      <c r="M8" s="409">
        <v>0</v>
      </c>
      <c r="N8" s="409">
        <v>6.4710000000000001</v>
      </c>
      <c r="O8" s="409">
        <v>6.4710000000000001</v>
      </c>
      <c r="P8" s="409">
        <v>6.4710000000000001</v>
      </c>
      <c r="Q8" s="409">
        <v>6.4710000000000001</v>
      </c>
      <c r="R8" s="409"/>
      <c r="S8" s="409">
        <v>561.96</v>
      </c>
      <c r="T8" s="409">
        <v>243.39</v>
      </c>
      <c r="U8" s="409"/>
      <c r="V8" s="409">
        <v>5211.4198500000002</v>
      </c>
      <c r="W8" s="409">
        <v>5211.4198500000002</v>
      </c>
      <c r="X8" s="409">
        <v>4700.6638199999998</v>
      </c>
      <c r="Y8" s="409">
        <v>0</v>
      </c>
      <c r="Z8" s="409">
        <v>0</v>
      </c>
      <c r="AA8" s="409">
        <v>0</v>
      </c>
      <c r="AB8" s="409">
        <v>0</v>
      </c>
      <c r="AC8" s="409">
        <v>0</v>
      </c>
      <c r="AD8" s="409">
        <v>758.33044356097696</v>
      </c>
      <c r="AE8" s="409">
        <v>2653.3592937404151</v>
      </c>
      <c r="AF8" s="409">
        <v>1574.9588611089405</v>
      </c>
      <c r="AG8" s="409">
        <v>0</v>
      </c>
      <c r="AH8" s="409">
        <v>0</v>
      </c>
      <c r="AI8" s="409">
        <v>0</v>
      </c>
      <c r="AJ8" s="409">
        <v>0</v>
      </c>
      <c r="AK8" s="409">
        <v>0</v>
      </c>
      <c r="AL8" s="409">
        <v>0</v>
      </c>
      <c r="AM8" s="409"/>
      <c r="AN8" s="409">
        <v>11.10987495983724</v>
      </c>
      <c r="AO8" s="409">
        <v>0</v>
      </c>
      <c r="AP8" s="409">
        <v>0</v>
      </c>
      <c r="AQ8" s="409">
        <v>0</v>
      </c>
      <c r="AR8" s="409">
        <v>0</v>
      </c>
      <c r="AS8" s="409">
        <v>0</v>
      </c>
      <c r="AT8" s="409">
        <v>0</v>
      </c>
      <c r="AU8" s="409">
        <v>0</v>
      </c>
      <c r="AV8" s="409">
        <v>0</v>
      </c>
      <c r="AW8" s="409">
        <v>0</v>
      </c>
      <c r="AX8" s="409">
        <v>0</v>
      </c>
      <c r="AY8" s="409">
        <v>0</v>
      </c>
      <c r="AZ8" s="409">
        <v>0</v>
      </c>
      <c r="BA8" s="409"/>
      <c r="BB8" s="409">
        <v>0</v>
      </c>
      <c r="BC8" s="409">
        <v>0</v>
      </c>
      <c r="BD8" s="409">
        <v>0</v>
      </c>
      <c r="BE8" s="409">
        <v>0</v>
      </c>
      <c r="BF8" s="409">
        <v>0</v>
      </c>
      <c r="BG8" s="409">
        <v>213.66808014716347</v>
      </c>
      <c r="BH8" s="409">
        <v>0</v>
      </c>
      <c r="BI8" s="409">
        <v>48.62</v>
      </c>
      <c r="BJ8" s="409">
        <v>224.55</v>
      </c>
      <c r="BK8" s="409">
        <v>1088.01</v>
      </c>
      <c r="BL8" s="409">
        <v>55</v>
      </c>
      <c r="BM8" s="409"/>
      <c r="BN8" s="409"/>
      <c r="BO8" s="409"/>
      <c r="BP8" s="409"/>
      <c r="BQ8" s="409"/>
      <c r="BR8" s="409"/>
      <c r="BS8" s="409"/>
      <c r="BT8" s="409"/>
      <c r="BU8" s="409"/>
      <c r="BV8" s="409">
        <v>1788.6269412561039</v>
      </c>
      <c r="BW8" s="409"/>
      <c r="BX8" s="409"/>
      <c r="BY8" s="409"/>
      <c r="BZ8" s="409"/>
      <c r="CA8" s="409"/>
      <c r="CB8" s="409"/>
      <c r="CC8" s="409"/>
      <c r="CD8" s="409"/>
      <c r="CE8" s="409"/>
      <c r="CF8" s="409"/>
      <c r="CG8" s="409"/>
      <c r="CH8" s="409"/>
      <c r="CI8" s="409">
        <v>4699.9373999999998</v>
      </c>
      <c r="CJ8" s="409">
        <v>-511.51245000000108</v>
      </c>
      <c r="CK8" s="409"/>
      <c r="CL8" s="409"/>
      <c r="CM8" s="409"/>
      <c r="CN8" s="409"/>
      <c r="CO8" s="409">
        <v>-565.5006900000003</v>
      </c>
      <c r="CP8" s="409">
        <v>54.744660000000053</v>
      </c>
      <c r="CQ8" s="409">
        <v>31</v>
      </c>
      <c r="CR8" s="409">
        <v>97.471416578298886</v>
      </c>
      <c r="CS8" s="409">
        <v>0</v>
      </c>
      <c r="CT8" s="409">
        <v>0</v>
      </c>
      <c r="CU8" s="409">
        <v>0</v>
      </c>
      <c r="CV8" s="409">
        <v>0</v>
      </c>
      <c r="CW8" s="409">
        <v>0</v>
      </c>
      <c r="CX8" s="409">
        <v>0</v>
      </c>
      <c r="CY8" s="409">
        <v>0</v>
      </c>
      <c r="CZ8" s="409">
        <v>28.430277157954947</v>
      </c>
      <c r="DA8" s="409">
        <v>0</v>
      </c>
      <c r="DB8" s="409">
        <v>0</v>
      </c>
      <c r="DC8" s="409">
        <v>72.148718566608522</v>
      </c>
      <c r="DD8" s="409">
        <v>0</v>
      </c>
      <c r="DE8" s="409">
        <v>0</v>
      </c>
      <c r="DF8" s="409">
        <v>0</v>
      </c>
      <c r="DG8" s="409">
        <v>9.7881148275518512</v>
      </c>
      <c r="DH8" s="409">
        <v>0</v>
      </c>
      <c r="DI8" s="409">
        <v>0</v>
      </c>
      <c r="DJ8" s="409"/>
      <c r="DK8" s="409">
        <v>0</v>
      </c>
      <c r="DL8" s="409">
        <v>0</v>
      </c>
      <c r="DM8" s="409">
        <v>0</v>
      </c>
      <c r="DN8" s="409">
        <v>0</v>
      </c>
      <c r="DO8" s="409">
        <v>0</v>
      </c>
      <c r="DP8" s="409">
        <v>-0.65440880675448199</v>
      </c>
      <c r="DQ8" s="409">
        <v>0</v>
      </c>
      <c r="DR8" s="409">
        <v>-12.241285167062568</v>
      </c>
      <c r="DS8" s="409"/>
      <c r="DT8" s="409"/>
      <c r="DU8" s="409"/>
      <c r="DV8" s="409">
        <v>2653.3592937404151</v>
      </c>
      <c r="DW8" s="409">
        <v>0</v>
      </c>
      <c r="DX8" s="409">
        <v>0</v>
      </c>
      <c r="DY8" s="409">
        <v>-565.5006900000003</v>
      </c>
      <c r="DZ8" s="409">
        <v>54.744660000000067</v>
      </c>
      <c r="EA8" s="409">
        <v>0</v>
      </c>
      <c r="EB8" s="409">
        <v>0</v>
      </c>
      <c r="EC8" s="409">
        <v>-608.21234238422403</v>
      </c>
      <c r="ED8" s="409">
        <v>0</v>
      </c>
      <c r="EE8" s="409">
        <v>0</v>
      </c>
      <c r="EF8" s="409">
        <v>0</v>
      </c>
      <c r="EG8" s="409">
        <v>0</v>
      </c>
      <c r="EH8" s="409">
        <v>0</v>
      </c>
      <c r="EI8" s="409">
        <v>0</v>
      </c>
      <c r="EJ8" s="409">
        <v>0</v>
      </c>
      <c r="EK8" s="409">
        <v>0</v>
      </c>
      <c r="EL8" s="409">
        <v>0</v>
      </c>
      <c r="EM8" s="409">
        <v>0</v>
      </c>
      <c r="EN8" s="409">
        <v>0</v>
      </c>
      <c r="EO8" s="409">
        <v>0</v>
      </c>
      <c r="EP8" s="409">
        <v>0</v>
      </c>
      <c r="EQ8" s="409">
        <v>0</v>
      </c>
      <c r="ER8" s="409">
        <v>0</v>
      </c>
      <c r="ES8" s="409">
        <v>0</v>
      </c>
      <c r="ET8" s="409">
        <v>0</v>
      </c>
      <c r="EU8" s="409">
        <v>0</v>
      </c>
      <c r="EV8" s="409">
        <v>254</v>
      </c>
      <c r="EW8" s="409">
        <v>0</v>
      </c>
      <c r="EX8" s="409">
        <v>0</v>
      </c>
      <c r="EY8" s="409">
        <v>0</v>
      </c>
      <c r="EZ8" s="409"/>
      <c r="FA8" s="409">
        <v>0</v>
      </c>
      <c r="FB8" s="409"/>
      <c r="FC8" s="409"/>
      <c r="FD8" s="409"/>
      <c r="FE8" s="409"/>
      <c r="FF8" s="409">
        <v>0</v>
      </c>
      <c r="FG8" s="409">
        <v>0</v>
      </c>
      <c r="FH8" s="409">
        <v>0</v>
      </c>
      <c r="FI8" s="409">
        <v>0</v>
      </c>
    </row>
    <row r="9" spans="1:165" customFormat="1">
      <c r="A9" s="409">
        <v>7</v>
      </c>
      <c r="B9" s="409" t="s">
        <v>1035</v>
      </c>
      <c r="C9" s="409" t="s">
        <v>2244</v>
      </c>
      <c r="D9" s="409" t="s">
        <v>1994</v>
      </c>
      <c r="E9" s="409" t="s">
        <v>969</v>
      </c>
      <c r="F9" s="409" t="s">
        <v>1323</v>
      </c>
      <c r="G9" s="409" t="s">
        <v>1323</v>
      </c>
      <c r="H9" s="409" t="s">
        <v>1323</v>
      </c>
      <c r="I9" s="409" t="s">
        <v>1323</v>
      </c>
      <c r="J9" s="409" t="s">
        <v>2245</v>
      </c>
      <c r="K9" s="835">
        <v>44317</v>
      </c>
      <c r="L9" s="409">
        <v>0</v>
      </c>
      <c r="M9" s="409">
        <v>0</v>
      </c>
      <c r="N9" s="409">
        <v>0.35</v>
      </c>
      <c r="O9" s="409">
        <v>0.35</v>
      </c>
      <c r="P9" s="409">
        <v>0.35</v>
      </c>
      <c r="Q9" s="409">
        <v>0.35</v>
      </c>
      <c r="R9" s="409"/>
      <c r="S9" s="409">
        <v>597.01</v>
      </c>
      <c r="T9" s="409">
        <v>243.39</v>
      </c>
      <c r="U9" s="409"/>
      <c r="V9" s="409">
        <v>294.14</v>
      </c>
      <c r="W9" s="409">
        <v>294.14</v>
      </c>
      <c r="X9" s="409">
        <v>266.44799999999998</v>
      </c>
      <c r="Y9" s="409">
        <v>0</v>
      </c>
      <c r="Z9" s="409">
        <v>8.7092171128191591</v>
      </c>
      <c r="AA9" s="409">
        <v>0</v>
      </c>
      <c r="AB9" s="409">
        <v>0</v>
      </c>
      <c r="AC9" s="409">
        <v>0</v>
      </c>
      <c r="AD9" s="409">
        <v>41.016172963427898</v>
      </c>
      <c r="AE9" s="409">
        <v>143.51348366699818</v>
      </c>
      <c r="AF9" s="409">
        <v>85.185535680440296</v>
      </c>
      <c r="AG9" s="409">
        <v>0</v>
      </c>
      <c r="AH9" s="409">
        <v>0</v>
      </c>
      <c r="AI9" s="409">
        <v>0</v>
      </c>
      <c r="AJ9" s="409">
        <v>0</v>
      </c>
      <c r="AK9" s="409">
        <v>0</v>
      </c>
      <c r="AL9" s="409">
        <v>3.5556817888945496</v>
      </c>
      <c r="AM9" s="409"/>
      <c r="AN9" s="409">
        <v>0.60090499705501998</v>
      </c>
      <c r="AO9" s="409">
        <v>0</v>
      </c>
      <c r="AP9" s="409">
        <v>0</v>
      </c>
      <c r="AQ9" s="409">
        <v>0</v>
      </c>
      <c r="AR9" s="409">
        <v>0</v>
      </c>
      <c r="AS9" s="409">
        <v>0</v>
      </c>
      <c r="AT9" s="409">
        <v>0</v>
      </c>
      <c r="AU9" s="409">
        <v>0</v>
      </c>
      <c r="AV9" s="409">
        <v>0</v>
      </c>
      <c r="AW9" s="409">
        <v>0</v>
      </c>
      <c r="AX9" s="409">
        <v>0</v>
      </c>
      <c r="AY9" s="409">
        <v>0</v>
      </c>
      <c r="AZ9" s="409">
        <v>0</v>
      </c>
      <c r="BA9" s="409"/>
      <c r="BB9" s="409">
        <v>0</v>
      </c>
      <c r="BC9" s="409">
        <v>0</v>
      </c>
      <c r="BD9" s="409">
        <v>0</v>
      </c>
      <c r="BE9" s="409">
        <v>0</v>
      </c>
      <c r="BF9" s="409">
        <v>0</v>
      </c>
      <c r="BG9" s="409">
        <v>11.556765268352219</v>
      </c>
      <c r="BH9" s="409">
        <v>0</v>
      </c>
      <c r="BI9" s="409">
        <v>0</v>
      </c>
      <c r="BJ9" s="409">
        <v>0</v>
      </c>
      <c r="BK9" s="409">
        <v>0</v>
      </c>
      <c r="BL9" s="409">
        <v>3</v>
      </c>
      <c r="BM9" s="409"/>
      <c r="BN9" s="409"/>
      <c r="BO9" s="409"/>
      <c r="BP9" s="409"/>
      <c r="BQ9" s="409"/>
      <c r="BR9" s="409"/>
      <c r="BS9" s="409"/>
      <c r="BT9" s="409"/>
      <c r="BU9" s="409"/>
      <c r="BV9" s="409">
        <v>96.742300948792519</v>
      </c>
      <c r="BW9" s="409"/>
      <c r="BX9" s="409"/>
      <c r="BY9" s="409"/>
      <c r="BZ9" s="409"/>
      <c r="CA9" s="409"/>
      <c r="CB9" s="409"/>
      <c r="CC9" s="409"/>
      <c r="CD9" s="409"/>
      <c r="CE9" s="409"/>
      <c r="CF9" s="409"/>
      <c r="CG9" s="409"/>
      <c r="CH9" s="409"/>
      <c r="CI9" s="409">
        <v>266.44799999999998</v>
      </c>
      <c r="CJ9" s="409">
        <v>-27.72199999999998</v>
      </c>
      <c r="CK9" s="409"/>
      <c r="CL9" s="409"/>
      <c r="CM9" s="409"/>
      <c r="CN9" s="409"/>
      <c r="CO9" s="409">
        <v>-30.652999999999992</v>
      </c>
      <c r="CP9" s="409">
        <v>2.9610000000000025</v>
      </c>
      <c r="CQ9" s="409">
        <v>31</v>
      </c>
      <c r="CR9" s="409">
        <v>5.2058380537983737</v>
      </c>
      <c r="CS9" s="409">
        <v>0</v>
      </c>
      <c r="CT9" s="409">
        <v>0</v>
      </c>
      <c r="CU9" s="409">
        <v>0</v>
      </c>
      <c r="CV9" s="409">
        <v>0</v>
      </c>
      <c r="CW9" s="409">
        <v>0</v>
      </c>
      <c r="CX9" s="409">
        <v>0</v>
      </c>
      <c r="CY9" s="409">
        <v>0</v>
      </c>
      <c r="CZ9" s="409">
        <v>1.5377216821641468</v>
      </c>
      <c r="DA9" s="409">
        <v>0</v>
      </c>
      <c r="DB9" s="409">
        <v>0</v>
      </c>
      <c r="DC9" s="409">
        <v>3.9023414461926933</v>
      </c>
      <c r="DD9" s="409">
        <v>0</v>
      </c>
      <c r="DE9" s="409">
        <v>0</v>
      </c>
      <c r="DF9" s="409">
        <v>0</v>
      </c>
      <c r="DG9" s="409">
        <v>0.52941433930507564</v>
      </c>
      <c r="DH9" s="409">
        <v>0</v>
      </c>
      <c r="DI9" s="409">
        <v>-6.3515281585244665E-2</v>
      </c>
      <c r="DJ9" s="409"/>
      <c r="DK9" s="409">
        <v>0</v>
      </c>
      <c r="DL9" s="409">
        <v>0</v>
      </c>
      <c r="DM9" s="409">
        <v>0</v>
      </c>
      <c r="DN9" s="409">
        <v>0</v>
      </c>
      <c r="DO9" s="409">
        <v>-1.9943649253220119E-2</v>
      </c>
      <c r="DP9" s="409">
        <v>-3.5395314845320547E-2</v>
      </c>
      <c r="DQ9" s="409">
        <v>0</v>
      </c>
      <c r="DR9" s="409">
        <v>-0.64478516817974341</v>
      </c>
      <c r="DS9" s="409"/>
      <c r="DT9" s="409"/>
      <c r="DU9" s="409"/>
      <c r="DV9" s="409">
        <v>143.51348366699818</v>
      </c>
      <c r="DW9" s="409">
        <v>0</v>
      </c>
      <c r="DX9" s="409">
        <v>0</v>
      </c>
      <c r="DY9" s="409">
        <v>-30.652999999999992</v>
      </c>
      <c r="DZ9" s="409">
        <v>2.9609999999999985</v>
      </c>
      <c r="EA9" s="409">
        <v>0</v>
      </c>
      <c r="EB9" s="409">
        <v>0</v>
      </c>
      <c r="EC9" s="409">
        <v>-32.896665095731478</v>
      </c>
      <c r="ED9" s="409">
        <v>0</v>
      </c>
      <c r="EE9" s="409">
        <v>0</v>
      </c>
      <c r="EF9" s="409">
        <v>0</v>
      </c>
      <c r="EG9" s="409">
        <v>0</v>
      </c>
      <c r="EH9" s="409">
        <v>0</v>
      </c>
      <c r="EI9" s="409">
        <v>0</v>
      </c>
      <c r="EJ9" s="409">
        <v>0</v>
      </c>
      <c r="EK9" s="409">
        <v>0</v>
      </c>
      <c r="EL9" s="409">
        <v>0</v>
      </c>
      <c r="EM9" s="409">
        <v>0</v>
      </c>
      <c r="EN9" s="409">
        <v>0</v>
      </c>
      <c r="EO9" s="409">
        <v>0</v>
      </c>
      <c r="EP9" s="409">
        <v>0</v>
      </c>
      <c r="EQ9" s="409">
        <v>0</v>
      </c>
      <c r="ER9" s="409">
        <v>0</v>
      </c>
      <c r="ES9" s="409">
        <v>0</v>
      </c>
      <c r="ET9" s="409">
        <v>0</v>
      </c>
      <c r="EU9" s="409">
        <v>0</v>
      </c>
      <c r="EV9" s="409">
        <v>254</v>
      </c>
      <c r="EW9" s="409">
        <v>0</v>
      </c>
      <c r="EX9" s="409">
        <v>0</v>
      </c>
      <c r="EY9" s="409">
        <v>0</v>
      </c>
      <c r="EZ9" s="409"/>
      <c r="FA9" s="409">
        <v>0</v>
      </c>
      <c r="FB9" s="409"/>
      <c r="FC9" s="409"/>
      <c r="FD9" s="409"/>
      <c r="FE9" s="409"/>
      <c r="FF9" s="409">
        <v>0</v>
      </c>
      <c r="FG9" s="409">
        <v>0</v>
      </c>
      <c r="FH9" s="409">
        <v>0</v>
      </c>
      <c r="FI9" s="409">
        <v>0</v>
      </c>
    </row>
    <row r="10" spans="1:165" customFormat="1">
      <c r="A10" s="409">
        <v>8</v>
      </c>
      <c r="B10" s="409" t="s">
        <v>1035</v>
      </c>
      <c r="C10" s="409" t="s">
        <v>2251</v>
      </c>
      <c r="D10" s="409" t="s">
        <v>596</v>
      </c>
      <c r="E10" s="409" t="s">
        <v>969</v>
      </c>
      <c r="F10" s="409" t="s">
        <v>1323</v>
      </c>
      <c r="G10" s="409" t="s">
        <v>1323</v>
      </c>
      <c r="H10" s="409" t="s">
        <v>1323</v>
      </c>
      <c r="I10" s="409" t="s">
        <v>972</v>
      </c>
      <c r="J10" s="409" t="s">
        <v>2245</v>
      </c>
      <c r="K10" s="835">
        <v>44317</v>
      </c>
      <c r="L10" s="409">
        <v>0</v>
      </c>
      <c r="M10" s="409">
        <v>0</v>
      </c>
      <c r="N10" s="409">
        <v>0.17</v>
      </c>
      <c r="O10" s="409">
        <v>0.17</v>
      </c>
      <c r="P10" s="409">
        <v>0.17</v>
      </c>
      <c r="Q10" s="409">
        <v>0.17</v>
      </c>
      <c r="R10" s="409"/>
      <c r="S10" s="409">
        <v>2773.91</v>
      </c>
      <c r="T10" s="409">
        <v>243.39</v>
      </c>
      <c r="U10" s="409"/>
      <c r="V10" s="409">
        <v>512.94100000000003</v>
      </c>
      <c r="W10" s="409">
        <v>512.94100000000003</v>
      </c>
      <c r="X10" s="409">
        <v>441.55290000000002</v>
      </c>
      <c r="Y10" s="409">
        <v>0</v>
      </c>
      <c r="Z10" s="409">
        <v>3.6802663171027232</v>
      </c>
      <c r="AA10" s="409">
        <v>0</v>
      </c>
      <c r="AB10" s="409">
        <v>0</v>
      </c>
      <c r="AC10" s="409">
        <v>0</v>
      </c>
      <c r="AD10" s="409">
        <v>122.48627827526489</v>
      </c>
      <c r="AE10" s="409">
        <v>340.97676046553596</v>
      </c>
      <c r="AF10" s="409">
        <v>41.375831616213858</v>
      </c>
      <c r="AG10" s="409">
        <v>0</v>
      </c>
      <c r="AH10" s="409">
        <v>0</v>
      </c>
      <c r="AI10" s="409">
        <v>0</v>
      </c>
      <c r="AJ10" s="409">
        <v>0</v>
      </c>
      <c r="AK10" s="409">
        <v>0</v>
      </c>
      <c r="AL10" s="409">
        <v>1.72704544032021</v>
      </c>
      <c r="AM10" s="409"/>
      <c r="AN10" s="409">
        <v>0.11792534862019861</v>
      </c>
      <c r="AO10" s="409">
        <v>0</v>
      </c>
      <c r="AP10" s="409">
        <v>0</v>
      </c>
      <c r="AQ10" s="409">
        <v>0</v>
      </c>
      <c r="AR10" s="409">
        <v>0</v>
      </c>
      <c r="AS10" s="409">
        <v>0</v>
      </c>
      <c r="AT10" s="409">
        <v>0</v>
      </c>
      <c r="AU10" s="409">
        <v>0</v>
      </c>
      <c r="AV10" s="409">
        <v>0</v>
      </c>
      <c r="AW10" s="409">
        <v>0</v>
      </c>
      <c r="AX10" s="409">
        <v>0</v>
      </c>
      <c r="AY10" s="409">
        <v>0</v>
      </c>
      <c r="AZ10" s="409">
        <v>0</v>
      </c>
      <c r="BA10" s="409"/>
      <c r="BB10" s="409">
        <v>0</v>
      </c>
      <c r="BC10" s="409">
        <v>0</v>
      </c>
      <c r="BD10" s="409">
        <v>0</v>
      </c>
      <c r="BE10" s="409">
        <v>0</v>
      </c>
      <c r="BF10" s="409">
        <v>0</v>
      </c>
      <c r="BG10" s="409">
        <v>2.5770519182930864</v>
      </c>
      <c r="BH10" s="409">
        <v>0</v>
      </c>
      <c r="BI10" s="409">
        <v>0</v>
      </c>
      <c r="BJ10" s="409">
        <v>0</v>
      </c>
      <c r="BK10" s="409">
        <v>0</v>
      </c>
      <c r="BL10" s="409">
        <v>0</v>
      </c>
      <c r="BM10" s="409"/>
      <c r="BN10" s="409"/>
      <c r="BO10" s="409"/>
      <c r="BP10" s="409"/>
      <c r="BQ10" s="409"/>
      <c r="BR10" s="409"/>
      <c r="BS10" s="409"/>
      <c r="BT10" s="409"/>
      <c r="BU10" s="409"/>
      <c r="BV10" s="409">
        <v>43.952883534506945</v>
      </c>
      <c r="BW10" s="409"/>
      <c r="BX10" s="409"/>
      <c r="BY10" s="409"/>
      <c r="BZ10" s="409"/>
      <c r="CA10" s="409"/>
      <c r="CB10" s="409"/>
      <c r="CC10" s="409"/>
      <c r="CD10" s="409"/>
      <c r="CE10" s="409"/>
      <c r="CF10" s="409"/>
      <c r="CG10" s="409"/>
      <c r="CH10" s="409"/>
      <c r="CI10" s="409">
        <v>441.55290000000002</v>
      </c>
      <c r="CJ10" s="409">
        <v>-71.418099999999981</v>
      </c>
      <c r="CK10" s="409"/>
      <c r="CL10" s="409"/>
      <c r="CM10" s="409"/>
      <c r="CN10" s="409"/>
      <c r="CO10" s="409">
        <v>-72.826299999999989</v>
      </c>
      <c r="CP10" s="409">
        <v>1.4382000000000015</v>
      </c>
      <c r="CQ10" s="409">
        <v>31</v>
      </c>
      <c r="CR10" s="409">
        <v>6.7713609918111501</v>
      </c>
      <c r="CS10" s="409">
        <v>0</v>
      </c>
      <c r="CT10" s="409">
        <v>0</v>
      </c>
      <c r="CU10" s="409">
        <v>0</v>
      </c>
      <c r="CV10" s="409">
        <v>0</v>
      </c>
      <c r="CW10" s="409">
        <v>0</v>
      </c>
      <c r="CX10" s="409">
        <v>0</v>
      </c>
      <c r="CY10" s="409">
        <v>0</v>
      </c>
      <c r="CZ10" s="409">
        <v>4.5920862982363957</v>
      </c>
      <c r="DA10" s="409">
        <v>0</v>
      </c>
      <c r="DB10" s="409">
        <v>0</v>
      </c>
      <c r="DC10" s="409">
        <v>1.8954229881507416</v>
      </c>
      <c r="DD10" s="409">
        <v>0</v>
      </c>
      <c r="DE10" s="409">
        <v>0</v>
      </c>
      <c r="DF10" s="409">
        <v>0</v>
      </c>
      <c r="DG10" s="409">
        <v>0.11805450807367057</v>
      </c>
      <c r="DH10" s="409">
        <v>0</v>
      </c>
      <c r="DI10" s="409">
        <v>-2.6839743275591577E-2</v>
      </c>
      <c r="DJ10" s="409"/>
      <c r="DK10" s="409">
        <v>0</v>
      </c>
      <c r="DL10" s="409">
        <v>0</v>
      </c>
      <c r="DM10" s="409">
        <v>0</v>
      </c>
      <c r="DN10" s="409">
        <v>0</v>
      </c>
      <c r="DO10" s="409">
        <v>-9.6869153515639628E-3</v>
      </c>
      <c r="DP10" s="409">
        <v>-6.9461975904886591E-3</v>
      </c>
      <c r="DQ10" s="409">
        <v>0</v>
      </c>
      <c r="DR10" s="409">
        <v>0.20927005356797412</v>
      </c>
      <c r="DS10" s="409"/>
      <c r="DT10" s="409"/>
      <c r="DU10" s="409"/>
      <c r="DV10" s="409">
        <v>340.97676046553596</v>
      </c>
      <c r="DW10" s="409">
        <v>0</v>
      </c>
      <c r="DX10" s="409">
        <v>0</v>
      </c>
      <c r="DY10" s="409">
        <v>-72.826300000000003</v>
      </c>
      <c r="DZ10" s="409">
        <v>1.4382000000000019</v>
      </c>
      <c r="EA10" s="409">
        <v>0</v>
      </c>
      <c r="EB10" s="409">
        <v>0</v>
      </c>
      <c r="EC10" s="409">
        <v>-78.159891376405142</v>
      </c>
      <c r="ED10" s="409">
        <v>0</v>
      </c>
      <c r="EE10" s="409">
        <v>0</v>
      </c>
      <c r="EF10" s="409">
        <v>0</v>
      </c>
      <c r="EG10" s="409">
        <v>0</v>
      </c>
      <c r="EH10" s="409">
        <v>0</v>
      </c>
      <c r="EI10" s="409">
        <v>0</v>
      </c>
      <c r="EJ10" s="409">
        <v>0</v>
      </c>
      <c r="EK10" s="409">
        <v>0</v>
      </c>
      <c r="EL10" s="409">
        <v>0</v>
      </c>
      <c r="EM10" s="409">
        <v>0</v>
      </c>
      <c r="EN10" s="409">
        <v>0</v>
      </c>
      <c r="EO10" s="409">
        <v>0</v>
      </c>
      <c r="EP10" s="409">
        <v>0</v>
      </c>
      <c r="EQ10" s="409">
        <v>0</v>
      </c>
      <c r="ER10" s="409">
        <v>0</v>
      </c>
      <c r="ES10" s="409">
        <v>0</v>
      </c>
      <c r="ET10" s="409">
        <v>0</v>
      </c>
      <c r="EU10" s="409">
        <v>0</v>
      </c>
      <c r="EV10" s="409">
        <v>254</v>
      </c>
      <c r="EW10" s="409">
        <v>0</v>
      </c>
      <c r="EX10" s="409">
        <v>0</v>
      </c>
      <c r="EY10" s="409">
        <v>0</v>
      </c>
      <c r="EZ10" s="409"/>
      <c r="FA10" s="409">
        <v>0</v>
      </c>
      <c r="FB10" s="409"/>
      <c r="FC10" s="409"/>
      <c r="FD10" s="409"/>
      <c r="FE10" s="409"/>
      <c r="FF10" s="409">
        <v>0</v>
      </c>
      <c r="FG10" s="409">
        <v>0</v>
      </c>
      <c r="FH10" s="409">
        <v>0</v>
      </c>
      <c r="FI10" s="409">
        <v>0</v>
      </c>
    </row>
    <row r="11" spans="1:165" customFormat="1">
      <c r="A11" s="409">
        <v>9</v>
      </c>
      <c r="B11" s="409" t="s">
        <v>1035</v>
      </c>
      <c r="C11" s="409" t="s">
        <v>2251</v>
      </c>
      <c r="D11" s="409" t="s">
        <v>596</v>
      </c>
      <c r="E11" s="409" t="s">
        <v>969</v>
      </c>
      <c r="F11" s="409" t="s">
        <v>1323</v>
      </c>
      <c r="G11" s="409" t="s">
        <v>1323</v>
      </c>
      <c r="H11" s="409" t="s">
        <v>1323</v>
      </c>
      <c r="I11" s="409" t="s">
        <v>2237</v>
      </c>
      <c r="J11" s="409" t="s">
        <v>2245</v>
      </c>
      <c r="K11" s="835">
        <v>44317</v>
      </c>
      <c r="L11" s="409">
        <v>0</v>
      </c>
      <c r="M11" s="409">
        <v>0</v>
      </c>
      <c r="N11" s="409">
        <v>20.687999999999999</v>
      </c>
      <c r="O11" s="409">
        <v>20.687999999999999</v>
      </c>
      <c r="P11" s="409">
        <v>20.687999999999999</v>
      </c>
      <c r="Q11" s="409">
        <v>20.687999999999999</v>
      </c>
      <c r="R11" s="409"/>
      <c r="S11" s="409">
        <v>47.66</v>
      </c>
      <c r="T11" s="409">
        <v>243.39</v>
      </c>
      <c r="U11" s="409"/>
      <c r="V11" s="409">
        <v>6021.2423999999992</v>
      </c>
      <c r="W11" s="409">
        <v>6021.2423999999992</v>
      </c>
      <c r="X11" s="409">
        <v>6206.81376</v>
      </c>
      <c r="Y11" s="409">
        <v>0</v>
      </c>
      <c r="Z11" s="409">
        <v>447.86676216600665</v>
      </c>
      <c r="AA11" s="409">
        <v>0</v>
      </c>
      <c r="AB11" s="409">
        <v>0</v>
      </c>
      <c r="AC11" s="409">
        <v>0</v>
      </c>
      <c r="AD11" s="409">
        <v>0</v>
      </c>
      <c r="AE11" s="409">
        <v>0</v>
      </c>
      <c r="AF11" s="409">
        <v>5035.1953204484253</v>
      </c>
      <c r="AG11" s="409">
        <v>0</v>
      </c>
      <c r="AH11" s="409">
        <v>0</v>
      </c>
      <c r="AI11" s="409">
        <v>0</v>
      </c>
      <c r="AJ11" s="409">
        <v>0</v>
      </c>
      <c r="AK11" s="409">
        <v>0</v>
      </c>
      <c r="AL11" s="409">
        <v>210.17127099614413</v>
      </c>
      <c r="AM11" s="409"/>
      <c r="AN11" s="409">
        <v>14.350821248556874</v>
      </c>
      <c r="AO11" s="409">
        <v>0</v>
      </c>
      <c r="AP11" s="409">
        <v>0</v>
      </c>
      <c r="AQ11" s="409">
        <v>0</v>
      </c>
      <c r="AR11" s="409">
        <v>0</v>
      </c>
      <c r="AS11" s="409">
        <v>0</v>
      </c>
      <c r="AT11" s="409">
        <v>0</v>
      </c>
      <c r="AU11" s="409">
        <v>0</v>
      </c>
      <c r="AV11" s="409">
        <v>0</v>
      </c>
      <c r="AW11" s="409">
        <v>0</v>
      </c>
      <c r="AX11" s="409">
        <v>0</v>
      </c>
      <c r="AY11" s="409">
        <v>0</v>
      </c>
      <c r="AZ11" s="409">
        <v>0</v>
      </c>
      <c r="BA11" s="409"/>
      <c r="BB11" s="409">
        <v>0</v>
      </c>
      <c r="BC11" s="409">
        <v>0</v>
      </c>
      <c r="BD11" s="409">
        <v>0</v>
      </c>
      <c r="BE11" s="409">
        <v>0</v>
      </c>
      <c r="BF11" s="409">
        <v>0</v>
      </c>
      <c r="BG11" s="409">
        <v>313.61205932733742</v>
      </c>
      <c r="BH11" s="409">
        <v>0</v>
      </c>
      <c r="BI11" s="409">
        <v>0</v>
      </c>
      <c r="BJ11" s="409">
        <v>0</v>
      </c>
      <c r="BK11" s="409">
        <v>0</v>
      </c>
      <c r="BL11" s="409">
        <v>0</v>
      </c>
      <c r="BM11" s="409"/>
      <c r="BN11" s="409"/>
      <c r="BO11" s="409"/>
      <c r="BP11" s="409"/>
      <c r="BQ11" s="409"/>
      <c r="BR11" s="409"/>
      <c r="BS11" s="409"/>
      <c r="BT11" s="409"/>
      <c r="BU11" s="409"/>
      <c r="BV11" s="409">
        <v>5348.8073797757625</v>
      </c>
      <c r="BW11" s="409"/>
      <c r="BX11" s="409"/>
      <c r="BY11" s="409"/>
      <c r="BZ11" s="409"/>
      <c r="CA11" s="409"/>
      <c r="CB11" s="409"/>
      <c r="CC11" s="409"/>
      <c r="CD11" s="409"/>
      <c r="CE11" s="409"/>
      <c r="CF11" s="409"/>
      <c r="CG11" s="409"/>
      <c r="CH11" s="409"/>
      <c r="CI11" s="409">
        <v>6207.4138000000003</v>
      </c>
      <c r="CJ11" s="409">
        <v>186.14140000000043</v>
      </c>
      <c r="CK11" s="409"/>
      <c r="CL11" s="409"/>
      <c r="CM11" s="409"/>
      <c r="CN11" s="409"/>
      <c r="CO11" s="409">
        <v>10.550880000000106</v>
      </c>
      <c r="CP11" s="409">
        <v>175.02048000000016</v>
      </c>
      <c r="CQ11" s="409">
        <v>31</v>
      </c>
      <c r="CR11" s="409">
        <v>185.58132330284752</v>
      </c>
      <c r="CS11" s="409">
        <v>0</v>
      </c>
      <c r="CT11" s="409">
        <v>0</v>
      </c>
      <c r="CU11" s="409">
        <v>0</v>
      </c>
      <c r="CV11" s="409">
        <v>0</v>
      </c>
      <c r="CW11" s="409">
        <v>0</v>
      </c>
      <c r="CX11" s="409">
        <v>0</v>
      </c>
      <c r="CY11" s="409">
        <v>0</v>
      </c>
      <c r="CZ11" s="409">
        <v>0</v>
      </c>
      <c r="DA11" s="409">
        <v>0</v>
      </c>
      <c r="DB11" s="409">
        <v>0</v>
      </c>
      <c r="DC11" s="409">
        <v>230.66182811095587</v>
      </c>
      <c r="DD11" s="409">
        <v>0</v>
      </c>
      <c r="DE11" s="409">
        <v>0</v>
      </c>
      <c r="DF11" s="409">
        <v>0</v>
      </c>
      <c r="DG11" s="409">
        <v>14.36653919428295</v>
      </c>
      <c r="DH11" s="409">
        <v>0</v>
      </c>
      <c r="DI11" s="409">
        <v>-3.2662388757967165</v>
      </c>
      <c r="DJ11" s="409"/>
      <c r="DK11" s="409">
        <v>0</v>
      </c>
      <c r="DL11" s="409">
        <v>0</v>
      </c>
      <c r="DM11" s="409">
        <v>0</v>
      </c>
      <c r="DN11" s="409">
        <v>0</v>
      </c>
      <c r="DO11" s="409">
        <v>-1.1788406164303353</v>
      </c>
      <c r="DP11" s="409">
        <v>-0.8453113867766433</v>
      </c>
      <c r="DQ11" s="409">
        <v>0</v>
      </c>
      <c r="DR11" s="409">
        <v>-54.156653123387642</v>
      </c>
      <c r="DS11" s="409"/>
      <c r="DT11" s="409"/>
      <c r="DU11" s="409"/>
      <c r="DV11" s="409">
        <v>0</v>
      </c>
      <c r="DW11" s="409">
        <v>0</v>
      </c>
      <c r="DX11" s="409">
        <v>0</v>
      </c>
      <c r="DY11" s="409">
        <v>10.550880000000006</v>
      </c>
      <c r="DZ11" s="409">
        <v>175.02048000000013</v>
      </c>
      <c r="EA11" s="409">
        <v>0</v>
      </c>
      <c r="EB11" s="409">
        <v>0</v>
      </c>
      <c r="EC11" s="409">
        <v>0</v>
      </c>
      <c r="ED11" s="409">
        <v>0</v>
      </c>
      <c r="EE11" s="409">
        <v>0</v>
      </c>
      <c r="EF11" s="409">
        <v>0</v>
      </c>
      <c r="EG11" s="409">
        <v>0</v>
      </c>
      <c r="EH11" s="409">
        <v>0</v>
      </c>
      <c r="EI11" s="409">
        <v>0</v>
      </c>
      <c r="EJ11" s="409">
        <v>0</v>
      </c>
      <c r="EK11" s="409">
        <v>0</v>
      </c>
      <c r="EL11" s="409">
        <v>0</v>
      </c>
      <c r="EM11" s="409">
        <v>0</v>
      </c>
      <c r="EN11" s="409">
        <v>0</v>
      </c>
      <c r="EO11" s="409">
        <v>0</v>
      </c>
      <c r="EP11" s="409">
        <v>0</v>
      </c>
      <c r="EQ11" s="409">
        <v>0</v>
      </c>
      <c r="ER11" s="409">
        <v>0</v>
      </c>
      <c r="ES11" s="409">
        <v>0</v>
      </c>
      <c r="ET11" s="409">
        <v>0</v>
      </c>
      <c r="EU11" s="409">
        <v>0</v>
      </c>
      <c r="EV11" s="409">
        <v>254</v>
      </c>
      <c r="EW11" s="409">
        <v>0</v>
      </c>
      <c r="EX11" s="409">
        <v>0</v>
      </c>
      <c r="EY11" s="409">
        <v>0</v>
      </c>
      <c r="EZ11" s="409"/>
      <c r="FA11" s="409">
        <v>0</v>
      </c>
      <c r="FB11" s="409"/>
      <c r="FC11" s="409"/>
      <c r="FD11" s="409"/>
      <c r="FE11" s="409"/>
      <c r="FF11" s="409">
        <v>0</v>
      </c>
      <c r="FG11" s="409">
        <v>0</v>
      </c>
      <c r="FH11" s="409">
        <v>0</v>
      </c>
      <c r="FI11" s="409">
        <v>0</v>
      </c>
    </row>
    <row r="12" spans="1:165" customFormat="1">
      <c r="A12" s="409">
        <v>10</v>
      </c>
      <c r="B12" s="409" t="s">
        <v>1035</v>
      </c>
      <c r="C12" s="409" t="s">
        <v>2251</v>
      </c>
      <c r="D12" s="409" t="s">
        <v>596</v>
      </c>
      <c r="E12" s="409" t="s">
        <v>969</v>
      </c>
      <c r="F12" s="409" t="s">
        <v>1323</v>
      </c>
      <c r="G12" s="409" t="s">
        <v>1323</v>
      </c>
      <c r="H12" s="409" t="s">
        <v>1323</v>
      </c>
      <c r="I12" s="409" t="s">
        <v>1323</v>
      </c>
      <c r="J12" s="409" t="s">
        <v>2245</v>
      </c>
      <c r="K12" s="835">
        <v>44317</v>
      </c>
      <c r="L12" s="409">
        <v>120</v>
      </c>
      <c r="M12" s="409">
        <v>120</v>
      </c>
      <c r="N12" s="409">
        <v>0</v>
      </c>
      <c r="O12" s="409">
        <v>0</v>
      </c>
      <c r="P12" s="409">
        <v>0</v>
      </c>
      <c r="Q12" s="409">
        <v>0</v>
      </c>
      <c r="R12" s="409">
        <v>50.27</v>
      </c>
      <c r="S12" s="409"/>
      <c r="T12" s="409"/>
      <c r="U12" s="409">
        <v>6032.4000000000005</v>
      </c>
      <c r="V12" s="409"/>
      <c r="W12" s="409">
        <v>6032.4000000000005</v>
      </c>
      <c r="X12" s="409">
        <v>5424</v>
      </c>
      <c r="Y12" s="409">
        <v>0</v>
      </c>
      <c r="Z12" s="409">
        <v>0</v>
      </c>
      <c r="AA12" s="409">
        <v>0</v>
      </c>
      <c r="AB12" s="409">
        <v>0</v>
      </c>
      <c r="AC12" s="409">
        <v>0</v>
      </c>
      <c r="AD12" s="409">
        <v>2875.1919811512239</v>
      </c>
      <c r="AE12" s="409">
        <v>3156.6615245067596</v>
      </c>
      <c r="AF12" s="409"/>
      <c r="AG12" s="409"/>
      <c r="AH12" s="409"/>
      <c r="AI12" s="409">
        <v>0</v>
      </c>
      <c r="AJ12" s="409">
        <v>0</v>
      </c>
      <c r="AK12" s="409">
        <v>0</v>
      </c>
      <c r="AL12" s="409">
        <v>0</v>
      </c>
      <c r="AM12" s="409"/>
      <c r="AN12" s="409">
        <v>0</v>
      </c>
      <c r="AO12" s="409">
        <v>0</v>
      </c>
      <c r="AP12" s="409">
        <v>0</v>
      </c>
      <c r="AQ12" s="409">
        <v>0</v>
      </c>
      <c r="AR12" s="409">
        <v>0</v>
      </c>
      <c r="AS12" s="409"/>
      <c r="AT12" s="409"/>
      <c r="AU12" s="409">
        <v>0</v>
      </c>
      <c r="AV12" s="409">
        <v>0</v>
      </c>
      <c r="AW12" s="409">
        <v>0</v>
      </c>
      <c r="AX12" s="409"/>
      <c r="AY12" s="409"/>
      <c r="AZ12" s="409">
        <v>0</v>
      </c>
      <c r="BA12" s="409"/>
      <c r="BB12" s="409">
        <v>0</v>
      </c>
      <c r="BC12" s="409">
        <v>0</v>
      </c>
      <c r="BD12" s="409">
        <v>0</v>
      </c>
      <c r="BE12" s="409">
        <v>0</v>
      </c>
      <c r="BF12" s="409"/>
      <c r="BG12" s="409">
        <v>0</v>
      </c>
      <c r="BH12" s="409">
        <v>0</v>
      </c>
      <c r="BI12" s="409">
        <v>0</v>
      </c>
      <c r="BJ12" s="409">
        <v>0</v>
      </c>
      <c r="BK12" s="409">
        <v>0</v>
      </c>
      <c r="BL12" s="409">
        <v>1</v>
      </c>
      <c r="BM12" s="409"/>
      <c r="BN12" s="409"/>
      <c r="BO12" s="409"/>
      <c r="BP12" s="409"/>
      <c r="BQ12" s="409"/>
      <c r="BR12" s="409"/>
      <c r="BS12" s="409"/>
      <c r="BT12" s="409"/>
      <c r="BU12" s="409"/>
      <c r="BV12" s="409">
        <v>0</v>
      </c>
      <c r="BW12" s="409"/>
      <c r="BX12" s="409"/>
      <c r="BY12" s="409"/>
      <c r="BZ12" s="409"/>
      <c r="CA12" s="409"/>
      <c r="CB12" s="409"/>
      <c r="CC12" s="409"/>
      <c r="CD12" s="409"/>
      <c r="CE12" s="409"/>
      <c r="CF12" s="409"/>
      <c r="CG12" s="409"/>
      <c r="CH12" s="409"/>
      <c r="CI12" s="409">
        <v>5424</v>
      </c>
      <c r="CJ12" s="409">
        <v>-608.4300000000012</v>
      </c>
      <c r="CK12" s="409"/>
      <c r="CL12" s="409"/>
      <c r="CM12" s="409"/>
      <c r="CN12" s="409"/>
      <c r="CO12" s="409">
        <v>-608.40000000000009</v>
      </c>
      <c r="CP12" s="409">
        <v>0</v>
      </c>
      <c r="CQ12" s="409">
        <v>31</v>
      </c>
      <c r="CR12" s="409">
        <v>116.30817949722041</v>
      </c>
      <c r="CS12" s="409">
        <v>0</v>
      </c>
      <c r="CT12" s="409">
        <v>0</v>
      </c>
      <c r="CU12" s="409">
        <v>0</v>
      </c>
      <c r="CV12" s="409">
        <v>0</v>
      </c>
      <c r="CW12" s="409"/>
      <c r="CX12" s="409"/>
      <c r="CY12" s="409"/>
      <c r="CZ12" s="409">
        <v>107.79272492689233</v>
      </c>
      <c r="DA12" s="409">
        <v>0</v>
      </c>
      <c r="DB12" s="409">
        <v>0</v>
      </c>
      <c r="DC12" s="409"/>
      <c r="DD12" s="409"/>
      <c r="DE12" s="409">
        <v>0</v>
      </c>
      <c r="DF12" s="409">
        <v>0</v>
      </c>
      <c r="DG12" s="409">
        <v>0</v>
      </c>
      <c r="DH12" s="409">
        <v>0</v>
      </c>
      <c r="DI12" s="409">
        <v>0</v>
      </c>
      <c r="DJ12" s="409"/>
      <c r="DK12" s="409">
        <v>0</v>
      </c>
      <c r="DL12" s="409">
        <v>0</v>
      </c>
      <c r="DM12" s="409"/>
      <c r="DN12" s="409">
        <v>0</v>
      </c>
      <c r="DO12" s="409">
        <v>0</v>
      </c>
      <c r="DP12" s="409">
        <v>0</v>
      </c>
      <c r="DQ12" s="409">
        <v>0</v>
      </c>
      <c r="DR12" s="409">
        <v>8.5154545703282878</v>
      </c>
      <c r="DS12" s="409"/>
      <c r="DT12" s="409"/>
      <c r="DU12" s="409">
        <v>3156.6615245067596</v>
      </c>
      <c r="DV12" s="409"/>
      <c r="DW12" s="409">
        <v>0</v>
      </c>
      <c r="DX12" s="409">
        <v>0</v>
      </c>
      <c r="DY12" s="409">
        <v>-608.40000000000055</v>
      </c>
      <c r="DZ12" s="409"/>
      <c r="EA12" s="409">
        <v>0</v>
      </c>
      <c r="EB12" s="409"/>
      <c r="EC12" s="409">
        <v>-723.58104854615976</v>
      </c>
      <c r="ED12" s="409"/>
      <c r="EE12" s="409">
        <v>0</v>
      </c>
      <c r="EF12" s="409">
        <v>0</v>
      </c>
      <c r="EG12" s="409"/>
      <c r="EH12" s="409">
        <v>0</v>
      </c>
      <c r="EI12" s="409">
        <v>0</v>
      </c>
      <c r="EJ12" s="409">
        <v>0</v>
      </c>
      <c r="EK12" s="409">
        <v>0</v>
      </c>
      <c r="EL12" s="409">
        <v>0</v>
      </c>
      <c r="EM12" s="409"/>
      <c r="EN12" s="409"/>
      <c r="EO12" s="409">
        <v>0</v>
      </c>
      <c r="EP12" s="409">
        <v>0</v>
      </c>
      <c r="EQ12" s="409"/>
      <c r="ER12" s="409">
        <v>0</v>
      </c>
      <c r="ES12" s="409"/>
      <c r="ET12" s="409">
        <v>0</v>
      </c>
      <c r="EU12" s="409"/>
      <c r="EV12" s="409">
        <v>254</v>
      </c>
      <c r="EW12" s="409"/>
      <c r="EX12" s="409"/>
      <c r="EY12" s="409"/>
      <c r="EZ12" s="409"/>
      <c r="FA12" s="409">
        <v>0</v>
      </c>
      <c r="FB12" s="409"/>
      <c r="FC12" s="409"/>
      <c r="FD12" s="409"/>
      <c r="FE12" s="409"/>
      <c r="FF12" s="409">
        <v>0</v>
      </c>
      <c r="FG12" s="409">
        <v>0</v>
      </c>
      <c r="FH12" s="409">
        <v>0</v>
      </c>
      <c r="FI12" s="409">
        <v>0</v>
      </c>
    </row>
    <row r="13" spans="1:165" customFormat="1">
      <c r="A13" s="409">
        <v>11</v>
      </c>
      <c r="B13" s="409" t="s">
        <v>1035</v>
      </c>
      <c r="C13" s="409" t="s">
        <v>2244</v>
      </c>
      <c r="D13" s="409" t="s">
        <v>1994</v>
      </c>
      <c r="E13" s="409" t="s">
        <v>997</v>
      </c>
      <c r="F13" s="409" t="s">
        <v>1323</v>
      </c>
      <c r="G13" s="409" t="s">
        <v>1323</v>
      </c>
      <c r="H13" s="409" t="s">
        <v>1323</v>
      </c>
      <c r="I13" s="409" t="s">
        <v>1323</v>
      </c>
      <c r="J13" s="409" t="s">
        <v>2245</v>
      </c>
      <c r="K13" s="835">
        <v>44317</v>
      </c>
      <c r="L13" s="409">
        <v>0</v>
      </c>
      <c r="M13" s="409">
        <v>0</v>
      </c>
      <c r="N13" s="409">
        <v>62.146000000000001</v>
      </c>
      <c r="O13" s="409">
        <v>62.146000000000001</v>
      </c>
      <c r="P13" s="409">
        <v>62.146000000000001</v>
      </c>
      <c r="Q13" s="409">
        <v>62.146000000000001</v>
      </c>
      <c r="R13" s="409"/>
      <c r="S13" s="409">
        <v>597.01</v>
      </c>
      <c r="T13" s="409">
        <v>243.39</v>
      </c>
      <c r="U13" s="409"/>
      <c r="V13" s="409">
        <v>52227.498399999997</v>
      </c>
      <c r="W13" s="409">
        <v>52227.498399999997</v>
      </c>
      <c r="X13" s="409">
        <v>47310.506880000001</v>
      </c>
      <c r="Y13" s="409">
        <v>0</v>
      </c>
      <c r="Z13" s="409">
        <v>1546.4085905521702</v>
      </c>
      <c r="AA13" s="409">
        <v>0</v>
      </c>
      <c r="AB13" s="409">
        <v>0</v>
      </c>
      <c r="AC13" s="409">
        <v>0</v>
      </c>
      <c r="AD13" s="409">
        <v>7282.8316713862578</v>
      </c>
      <c r="AE13" s="409">
        <v>25482.254159912198</v>
      </c>
      <c r="AF13" s="409">
        <v>15125.543715418979</v>
      </c>
      <c r="AG13" s="409">
        <v>0</v>
      </c>
      <c r="AH13" s="409">
        <v>0</v>
      </c>
      <c r="AI13" s="409">
        <v>0</v>
      </c>
      <c r="AJ13" s="409">
        <v>0</v>
      </c>
      <c r="AK13" s="409">
        <v>0</v>
      </c>
      <c r="AL13" s="409">
        <v>631.34685843611624</v>
      </c>
      <c r="AM13" s="409"/>
      <c r="AN13" s="409">
        <v>106.69669127708934</v>
      </c>
      <c r="AO13" s="409">
        <v>0</v>
      </c>
      <c r="AP13" s="409">
        <v>0</v>
      </c>
      <c r="AQ13" s="409">
        <v>0</v>
      </c>
      <c r="AR13" s="409">
        <v>0</v>
      </c>
      <c r="AS13" s="409">
        <v>0</v>
      </c>
      <c r="AT13" s="409">
        <v>0</v>
      </c>
      <c r="AU13" s="409">
        <v>0</v>
      </c>
      <c r="AV13" s="409">
        <v>0</v>
      </c>
      <c r="AW13" s="409">
        <v>0</v>
      </c>
      <c r="AX13" s="409">
        <v>0</v>
      </c>
      <c r="AY13" s="409">
        <v>0</v>
      </c>
      <c r="AZ13" s="409">
        <v>0</v>
      </c>
      <c r="BA13" s="409"/>
      <c r="BB13" s="409">
        <v>0</v>
      </c>
      <c r="BC13" s="409">
        <v>0</v>
      </c>
      <c r="BD13" s="409">
        <v>0</v>
      </c>
      <c r="BE13" s="409">
        <v>0</v>
      </c>
      <c r="BF13" s="409">
        <v>0</v>
      </c>
      <c r="BG13" s="409">
        <v>2052.0192410486202</v>
      </c>
      <c r="BH13" s="409">
        <v>0</v>
      </c>
      <c r="BI13" s="409">
        <v>82.84</v>
      </c>
      <c r="BJ13" s="409">
        <v>382.38</v>
      </c>
      <c r="BK13" s="409">
        <v>4852.41</v>
      </c>
      <c r="BL13" s="409">
        <v>208</v>
      </c>
      <c r="BM13" s="409"/>
      <c r="BN13" s="409"/>
      <c r="BO13" s="409"/>
      <c r="BP13" s="409"/>
      <c r="BQ13" s="409"/>
      <c r="BR13" s="409"/>
      <c r="BS13" s="409"/>
      <c r="BT13" s="409"/>
      <c r="BU13" s="409"/>
      <c r="BV13" s="409">
        <v>17177.562956467598</v>
      </c>
      <c r="BW13" s="409"/>
      <c r="BX13" s="409"/>
      <c r="BY13" s="409"/>
      <c r="BZ13" s="409"/>
      <c r="CA13" s="409"/>
      <c r="CB13" s="409"/>
      <c r="CC13" s="409"/>
      <c r="CD13" s="409"/>
      <c r="CE13" s="409"/>
      <c r="CF13" s="409"/>
      <c r="CG13" s="409"/>
      <c r="CH13" s="409"/>
      <c r="CI13" s="409">
        <v>47313.551999999996</v>
      </c>
      <c r="CJ13" s="409">
        <v>-4913.9764000000068</v>
      </c>
      <c r="CK13" s="409"/>
      <c r="CL13" s="409"/>
      <c r="CM13" s="409"/>
      <c r="CN13" s="409"/>
      <c r="CO13" s="409">
        <v>-5442.7466799999993</v>
      </c>
      <c r="CP13" s="409">
        <v>525.7551600000005</v>
      </c>
      <c r="CQ13" s="409">
        <v>31</v>
      </c>
      <c r="CR13" s="409">
        <v>924.34860483244483</v>
      </c>
      <c r="CS13" s="409">
        <v>0</v>
      </c>
      <c r="CT13" s="409">
        <v>0</v>
      </c>
      <c r="CU13" s="409">
        <v>0</v>
      </c>
      <c r="CV13" s="409">
        <v>0</v>
      </c>
      <c r="CW13" s="409">
        <v>0</v>
      </c>
      <c r="CX13" s="409">
        <v>0</v>
      </c>
      <c r="CY13" s="409">
        <v>0</v>
      </c>
      <c r="CZ13" s="409">
        <v>273.03786188506638</v>
      </c>
      <c r="DA13" s="409">
        <v>0</v>
      </c>
      <c r="DB13" s="409">
        <v>0</v>
      </c>
      <c r="DC13" s="409">
        <v>692.89974718597659</v>
      </c>
      <c r="DD13" s="409">
        <v>0</v>
      </c>
      <c r="DE13" s="409">
        <v>0</v>
      </c>
      <c r="DF13" s="409">
        <v>0</v>
      </c>
      <c r="DG13" s="409">
        <v>94.002810087009493</v>
      </c>
      <c r="DH13" s="409">
        <v>0</v>
      </c>
      <c r="DI13" s="409">
        <v>-11.277773398276167</v>
      </c>
      <c r="DJ13" s="409"/>
      <c r="DK13" s="409">
        <v>0</v>
      </c>
      <c r="DL13" s="409">
        <v>0</v>
      </c>
      <c r="DM13" s="409">
        <v>0</v>
      </c>
      <c r="DN13" s="409">
        <v>0</v>
      </c>
      <c r="DO13" s="409">
        <v>-3.5411943614017218</v>
      </c>
      <c r="DP13" s="409">
        <v>-6.2847921039351036</v>
      </c>
      <c r="DQ13" s="409">
        <v>0</v>
      </c>
      <c r="DR13" s="409">
        <v>-114.48805446199525</v>
      </c>
      <c r="DS13" s="409"/>
      <c r="DT13" s="409"/>
      <c r="DU13" s="409"/>
      <c r="DV13" s="409">
        <v>25482.254159912198</v>
      </c>
      <c r="DW13" s="409">
        <v>0</v>
      </c>
      <c r="DX13" s="409">
        <v>0</v>
      </c>
      <c r="DY13" s="409">
        <v>-5442.7466799999966</v>
      </c>
      <c r="DZ13" s="409">
        <v>525.75516000000061</v>
      </c>
      <c r="EA13" s="409">
        <v>0</v>
      </c>
      <c r="EB13" s="409">
        <v>0</v>
      </c>
      <c r="EC13" s="409">
        <v>-5841.1318543980815</v>
      </c>
      <c r="ED13" s="409">
        <v>0</v>
      </c>
      <c r="EE13" s="409">
        <v>0</v>
      </c>
      <c r="EF13" s="409">
        <v>0</v>
      </c>
      <c r="EG13" s="409">
        <v>0</v>
      </c>
      <c r="EH13" s="409">
        <v>0</v>
      </c>
      <c r="EI13" s="409">
        <v>0</v>
      </c>
      <c r="EJ13" s="409">
        <v>0</v>
      </c>
      <c r="EK13" s="409">
        <v>0</v>
      </c>
      <c r="EL13" s="409">
        <v>0</v>
      </c>
      <c r="EM13" s="409">
        <v>0</v>
      </c>
      <c r="EN13" s="409">
        <v>0</v>
      </c>
      <c r="EO13" s="409">
        <v>0</v>
      </c>
      <c r="EP13" s="409">
        <v>0</v>
      </c>
      <c r="EQ13" s="409">
        <v>0</v>
      </c>
      <c r="ER13" s="409">
        <v>0</v>
      </c>
      <c r="ES13" s="409">
        <v>0</v>
      </c>
      <c r="ET13" s="409">
        <v>0</v>
      </c>
      <c r="EU13" s="409">
        <v>0</v>
      </c>
      <c r="EV13" s="409">
        <v>254</v>
      </c>
      <c r="EW13" s="409">
        <v>0</v>
      </c>
      <c r="EX13" s="409">
        <v>0</v>
      </c>
      <c r="EY13" s="409">
        <v>0</v>
      </c>
      <c r="EZ13" s="409"/>
      <c r="FA13" s="409">
        <v>0</v>
      </c>
      <c r="FB13" s="409"/>
      <c r="FC13" s="409"/>
      <c r="FD13" s="409"/>
      <c r="FE13" s="409"/>
      <c r="FF13" s="409">
        <v>0</v>
      </c>
      <c r="FG13" s="409">
        <v>0</v>
      </c>
      <c r="FH13" s="409">
        <v>0</v>
      </c>
      <c r="FI13" s="409">
        <v>0</v>
      </c>
    </row>
    <row r="14" spans="1:165" customFormat="1">
      <c r="A14" s="409">
        <v>12</v>
      </c>
      <c r="B14" s="409" t="s">
        <v>2246</v>
      </c>
      <c r="C14" s="409" t="s">
        <v>2244</v>
      </c>
      <c r="D14" s="409" t="s">
        <v>1994</v>
      </c>
      <c r="E14" s="409" t="s">
        <v>997</v>
      </c>
      <c r="F14" s="409" t="s">
        <v>1323</v>
      </c>
      <c r="G14" s="409" t="s">
        <v>1323</v>
      </c>
      <c r="H14" s="409" t="s">
        <v>1323</v>
      </c>
      <c r="I14" s="409" t="s">
        <v>1323</v>
      </c>
      <c r="J14" s="409" t="s">
        <v>2245</v>
      </c>
      <c r="K14" s="835">
        <v>44317</v>
      </c>
      <c r="L14" s="409">
        <v>0</v>
      </c>
      <c r="M14" s="409">
        <v>0</v>
      </c>
      <c r="N14" s="409">
        <v>5.3890000000000002</v>
      </c>
      <c r="O14" s="409">
        <v>5.3890000000000002</v>
      </c>
      <c r="P14" s="409">
        <v>5.3890000000000002</v>
      </c>
      <c r="Q14" s="409">
        <v>5.3890000000000002</v>
      </c>
      <c r="R14" s="409"/>
      <c r="S14" s="409">
        <v>597.01</v>
      </c>
      <c r="T14" s="409">
        <v>243.39</v>
      </c>
      <c r="U14" s="409"/>
      <c r="V14" s="409">
        <v>4528.9156000000003</v>
      </c>
      <c r="W14" s="409">
        <v>4528.9156000000003</v>
      </c>
      <c r="X14" s="409">
        <v>4102.5379200000007</v>
      </c>
      <c r="Y14" s="409">
        <v>0</v>
      </c>
      <c r="Z14" s="409">
        <v>134.09706005994988</v>
      </c>
      <c r="AA14" s="409">
        <v>0</v>
      </c>
      <c r="AB14" s="409">
        <v>0</v>
      </c>
      <c r="AC14" s="409">
        <v>0</v>
      </c>
      <c r="AD14" s="409">
        <v>631.53187457117986</v>
      </c>
      <c r="AE14" s="409">
        <v>2209.6976099470094</v>
      </c>
      <c r="AF14" s="409">
        <v>1311.6138622339795</v>
      </c>
      <c r="AG14" s="409">
        <v>0</v>
      </c>
      <c r="AH14" s="409">
        <v>0</v>
      </c>
      <c r="AI14" s="409">
        <v>0</v>
      </c>
      <c r="AJ14" s="409">
        <v>0</v>
      </c>
      <c r="AK14" s="409">
        <v>0</v>
      </c>
      <c r="AL14" s="409">
        <v>54.747340458150653</v>
      </c>
      <c r="AM14" s="409"/>
      <c r="AN14" s="409">
        <v>9.2522200832271508</v>
      </c>
      <c r="AO14" s="409">
        <v>0</v>
      </c>
      <c r="AP14" s="409">
        <v>0</v>
      </c>
      <c r="AQ14" s="409">
        <v>0</v>
      </c>
      <c r="AR14" s="409">
        <v>0</v>
      </c>
      <c r="AS14" s="409">
        <v>0</v>
      </c>
      <c r="AT14" s="409">
        <v>0</v>
      </c>
      <c r="AU14" s="409">
        <v>0</v>
      </c>
      <c r="AV14" s="409">
        <v>0</v>
      </c>
      <c r="AW14" s="409">
        <v>0</v>
      </c>
      <c r="AX14" s="409">
        <v>0</v>
      </c>
      <c r="AY14" s="409">
        <v>0</v>
      </c>
      <c r="AZ14" s="409">
        <v>0</v>
      </c>
      <c r="BA14" s="409"/>
      <c r="BB14" s="409">
        <v>0</v>
      </c>
      <c r="BC14" s="409">
        <v>0</v>
      </c>
      <c r="BD14" s="409">
        <v>0</v>
      </c>
      <c r="BE14" s="409">
        <v>0</v>
      </c>
      <c r="BF14" s="409">
        <v>0</v>
      </c>
      <c r="BG14" s="409">
        <v>177.94116580328603</v>
      </c>
      <c r="BH14" s="409">
        <v>0</v>
      </c>
      <c r="BI14" s="409">
        <v>0</v>
      </c>
      <c r="BJ14" s="409">
        <v>0</v>
      </c>
      <c r="BK14" s="409">
        <v>0</v>
      </c>
      <c r="BL14" s="409">
        <v>6</v>
      </c>
      <c r="BM14" s="409"/>
      <c r="BN14" s="409"/>
      <c r="BO14" s="409"/>
      <c r="BP14" s="409"/>
      <c r="BQ14" s="409"/>
      <c r="BR14" s="409"/>
      <c r="BS14" s="409"/>
      <c r="BT14" s="409"/>
      <c r="BU14" s="409"/>
      <c r="BV14" s="409">
        <v>1489.5550280372654</v>
      </c>
      <c r="BW14" s="409"/>
      <c r="BX14" s="409"/>
      <c r="BY14" s="409"/>
      <c r="BZ14" s="409"/>
      <c r="CA14" s="409"/>
      <c r="CB14" s="409"/>
      <c r="CC14" s="409"/>
      <c r="CD14" s="409"/>
      <c r="CE14" s="409"/>
      <c r="CF14" s="409"/>
      <c r="CG14" s="409"/>
      <c r="CH14" s="409"/>
      <c r="CI14" s="409">
        <v>4103.2991999999995</v>
      </c>
      <c r="CJ14" s="409">
        <v>-425.64640000000145</v>
      </c>
      <c r="CK14" s="409"/>
      <c r="CL14" s="409"/>
      <c r="CM14" s="409"/>
      <c r="CN14" s="409"/>
      <c r="CO14" s="409">
        <v>-471.96861999999993</v>
      </c>
      <c r="CP14" s="409">
        <v>45.590940000000046</v>
      </c>
      <c r="CQ14" s="409">
        <v>31</v>
      </c>
      <c r="CR14" s="409">
        <v>80.155032205484986</v>
      </c>
      <c r="CS14" s="409">
        <v>0</v>
      </c>
      <c r="CT14" s="409">
        <v>0</v>
      </c>
      <c r="CU14" s="409">
        <v>0</v>
      </c>
      <c r="CV14" s="409">
        <v>0</v>
      </c>
      <c r="CW14" s="409">
        <v>0</v>
      </c>
      <c r="CX14" s="409">
        <v>0</v>
      </c>
      <c r="CY14" s="409">
        <v>0</v>
      </c>
      <c r="CZ14" s="409">
        <v>23.676520414807442</v>
      </c>
      <c r="DA14" s="409">
        <v>0</v>
      </c>
      <c r="DB14" s="409">
        <v>0</v>
      </c>
      <c r="DC14" s="409">
        <v>60.084908724378465</v>
      </c>
      <c r="DD14" s="409">
        <v>0</v>
      </c>
      <c r="DE14" s="409">
        <v>0</v>
      </c>
      <c r="DF14" s="409">
        <v>0</v>
      </c>
      <c r="DG14" s="409">
        <v>8.1514682129001699</v>
      </c>
      <c r="DH14" s="409">
        <v>0</v>
      </c>
      <c r="DI14" s="409">
        <v>-0.97795386417968189</v>
      </c>
      <c r="DJ14" s="409"/>
      <c r="DK14" s="409">
        <v>0</v>
      </c>
      <c r="DL14" s="409">
        <v>0</v>
      </c>
      <c r="DM14" s="409">
        <v>0</v>
      </c>
      <c r="DN14" s="409">
        <v>0</v>
      </c>
      <c r="DO14" s="409">
        <v>-0.30707521664457715</v>
      </c>
      <c r="DP14" s="409">
        <v>-0.54498671914694796</v>
      </c>
      <c r="DQ14" s="409">
        <v>0</v>
      </c>
      <c r="DR14" s="409">
        <v>-9.9278493466303939</v>
      </c>
      <c r="DS14" s="409"/>
      <c r="DT14" s="409"/>
      <c r="DU14" s="409"/>
      <c r="DV14" s="409">
        <v>2209.6976099470094</v>
      </c>
      <c r="DW14" s="409">
        <v>0</v>
      </c>
      <c r="DX14" s="409">
        <v>0</v>
      </c>
      <c r="DY14" s="409">
        <v>-471.9686200000001</v>
      </c>
      <c r="DZ14" s="409">
        <v>45.590940000000046</v>
      </c>
      <c r="EA14" s="409">
        <v>0</v>
      </c>
      <c r="EB14" s="409">
        <v>0</v>
      </c>
      <c r="EC14" s="409">
        <v>-506.5146520025628</v>
      </c>
      <c r="ED14" s="409">
        <v>0</v>
      </c>
      <c r="EE14" s="409">
        <v>0</v>
      </c>
      <c r="EF14" s="409">
        <v>0</v>
      </c>
      <c r="EG14" s="409">
        <v>0</v>
      </c>
      <c r="EH14" s="409">
        <v>0</v>
      </c>
      <c r="EI14" s="409">
        <v>0</v>
      </c>
      <c r="EJ14" s="409">
        <v>0</v>
      </c>
      <c r="EK14" s="409">
        <v>0</v>
      </c>
      <c r="EL14" s="409">
        <v>0</v>
      </c>
      <c r="EM14" s="409">
        <v>0</v>
      </c>
      <c r="EN14" s="409">
        <v>0</v>
      </c>
      <c r="EO14" s="409">
        <v>0</v>
      </c>
      <c r="EP14" s="409">
        <v>0</v>
      </c>
      <c r="EQ14" s="409">
        <v>0</v>
      </c>
      <c r="ER14" s="409">
        <v>0</v>
      </c>
      <c r="ES14" s="409">
        <v>0</v>
      </c>
      <c r="ET14" s="409">
        <v>0</v>
      </c>
      <c r="EU14" s="409">
        <v>0</v>
      </c>
      <c r="EV14" s="409">
        <v>254</v>
      </c>
      <c r="EW14" s="409">
        <v>0</v>
      </c>
      <c r="EX14" s="409">
        <v>0</v>
      </c>
      <c r="EY14" s="409">
        <v>0</v>
      </c>
      <c r="EZ14" s="409"/>
      <c r="FA14" s="409">
        <v>0</v>
      </c>
      <c r="FB14" s="409"/>
      <c r="FC14" s="409"/>
      <c r="FD14" s="409"/>
      <c r="FE14" s="409"/>
      <c r="FF14" s="409">
        <v>0</v>
      </c>
      <c r="FG14" s="409">
        <v>0</v>
      </c>
      <c r="FH14" s="409">
        <v>0</v>
      </c>
      <c r="FI14" s="409">
        <v>0</v>
      </c>
    </row>
    <row r="15" spans="1:165" customFormat="1">
      <c r="A15" s="409">
        <v>13</v>
      </c>
      <c r="B15" s="409" t="s">
        <v>1035</v>
      </c>
      <c r="C15" s="409" t="s">
        <v>2252</v>
      </c>
      <c r="D15" s="409" t="s">
        <v>1994</v>
      </c>
      <c r="E15" s="409" t="s">
        <v>997</v>
      </c>
      <c r="F15" s="409" t="s">
        <v>1323</v>
      </c>
      <c r="G15" s="409" t="s">
        <v>1323</v>
      </c>
      <c r="H15" s="409" t="s">
        <v>1323</v>
      </c>
      <c r="I15" s="409" t="s">
        <v>972</v>
      </c>
      <c r="J15" s="409" t="s">
        <v>2245</v>
      </c>
      <c r="K15" s="835">
        <v>44317</v>
      </c>
      <c r="L15" s="409">
        <v>0</v>
      </c>
      <c r="M15" s="409">
        <v>0</v>
      </c>
      <c r="N15" s="409">
        <v>8.9999999999999993E-3</v>
      </c>
      <c r="O15" s="409">
        <v>8.9999999999999993E-3</v>
      </c>
      <c r="P15" s="409">
        <v>8.9999999999999993E-3</v>
      </c>
      <c r="Q15" s="409">
        <v>8.9999999999999993E-3</v>
      </c>
      <c r="R15" s="409"/>
      <c r="S15" s="409">
        <v>1783.27</v>
      </c>
      <c r="T15" s="409">
        <v>243.39</v>
      </c>
      <c r="U15" s="409"/>
      <c r="V15" s="409">
        <v>18.239939999999997</v>
      </c>
      <c r="W15" s="409">
        <v>18.239939999999997</v>
      </c>
      <c r="X15" s="409">
        <v>15.728579999999999</v>
      </c>
      <c r="Y15" s="409">
        <v>0</v>
      </c>
      <c r="Z15" s="409">
        <v>0.22395129718677839</v>
      </c>
      <c r="AA15" s="409">
        <v>0</v>
      </c>
      <c r="AB15" s="409">
        <v>0</v>
      </c>
      <c r="AC15" s="409">
        <v>0</v>
      </c>
      <c r="AD15" s="409">
        <v>3.4277819904355047</v>
      </c>
      <c r="AE15" s="409">
        <v>11.993631701500799</v>
      </c>
      <c r="AF15" s="409">
        <v>2.1904852032113218</v>
      </c>
      <c r="AG15" s="409">
        <v>0</v>
      </c>
      <c r="AH15" s="409">
        <v>0</v>
      </c>
      <c r="AI15" s="409">
        <v>0</v>
      </c>
      <c r="AJ15" s="409">
        <v>0</v>
      </c>
      <c r="AK15" s="409">
        <v>0</v>
      </c>
      <c r="AL15" s="409">
        <v>9.1431817428716991E-2</v>
      </c>
      <c r="AM15" s="409"/>
      <c r="AN15" s="409">
        <v>1.5451842781414798E-2</v>
      </c>
      <c r="AO15" s="409">
        <v>0</v>
      </c>
      <c r="AP15" s="409">
        <v>0</v>
      </c>
      <c r="AQ15" s="409">
        <v>0</v>
      </c>
      <c r="AR15" s="409">
        <v>0</v>
      </c>
      <c r="AS15" s="409">
        <v>0</v>
      </c>
      <c r="AT15" s="409">
        <v>0</v>
      </c>
      <c r="AU15" s="409">
        <v>0</v>
      </c>
      <c r="AV15" s="409">
        <v>0</v>
      </c>
      <c r="AW15" s="409">
        <v>0</v>
      </c>
      <c r="AX15" s="409">
        <v>0</v>
      </c>
      <c r="AY15" s="409">
        <v>0</v>
      </c>
      <c r="AZ15" s="409">
        <v>0</v>
      </c>
      <c r="BA15" s="409"/>
      <c r="BB15" s="409">
        <v>0</v>
      </c>
      <c r="BC15" s="409">
        <v>0</v>
      </c>
      <c r="BD15" s="409">
        <v>0</v>
      </c>
      <c r="BE15" s="409">
        <v>0</v>
      </c>
      <c r="BF15" s="409">
        <v>0</v>
      </c>
      <c r="BG15" s="409">
        <v>0.29717396404334279</v>
      </c>
      <c r="BH15" s="409">
        <v>0</v>
      </c>
      <c r="BI15" s="409">
        <v>0</v>
      </c>
      <c r="BJ15" s="409">
        <v>0</v>
      </c>
      <c r="BK15" s="409">
        <v>0</v>
      </c>
      <c r="BL15" s="409">
        <v>0</v>
      </c>
      <c r="BM15" s="409"/>
      <c r="BN15" s="409"/>
      <c r="BO15" s="409"/>
      <c r="BP15" s="409"/>
      <c r="BQ15" s="409"/>
      <c r="BR15" s="409"/>
      <c r="BS15" s="409"/>
      <c r="BT15" s="409"/>
      <c r="BU15" s="409"/>
      <c r="BV15" s="409">
        <v>2.4876591672546646</v>
      </c>
      <c r="BW15" s="409"/>
      <c r="BX15" s="409"/>
      <c r="BY15" s="409"/>
      <c r="BZ15" s="409"/>
      <c r="CA15" s="409"/>
      <c r="CB15" s="409"/>
      <c r="CC15" s="409"/>
      <c r="CD15" s="409"/>
      <c r="CE15" s="409"/>
      <c r="CF15" s="409"/>
      <c r="CG15" s="409"/>
      <c r="CH15" s="409"/>
      <c r="CI15" s="409">
        <v>17.476200000000002</v>
      </c>
      <c r="CJ15" s="409">
        <v>-0.79373999999999967</v>
      </c>
      <c r="CK15" s="409"/>
      <c r="CL15" s="409"/>
      <c r="CM15" s="409"/>
      <c r="CN15" s="409"/>
      <c r="CO15" s="409">
        <v>-2.5874999999999999</v>
      </c>
      <c r="CP15" s="409">
        <v>7.6140000000000069E-2</v>
      </c>
      <c r="CQ15" s="409">
        <v>31</v>
      </c>
      <c r="CR15" s="409">
        <v>0.23790499137308085</v>
      </c>
      <c r="CS15" s="409">
        <v>0</v>
      </c>
      <c r="CT15" s="409">
        <v>0</v>
      </c>
      <c r="CU15" s="409">
        <v>0</v>
      </c>
      <c r="CV15" s="409">
        <v>0</v>
      </c>
      <c r="CW15" s="409">
        <v>0</v>
      </c>
      <c r="CX15" s="409">
        <v>0</v>
      </c>
      <c r="CY15" s="409">
        <v>0</v>
      </c>
      <c r="CZ15" s="409">
        <v>0.12850966600720204</v>
      </c>
      <c r="DA15" s="409">
        <v>0</v>
      </c>
      <c r="DB15" s="409">
        <v>0</v>
      </c>
      <c r="DC15" s="409">
        <v>0.10034592290209776</v>
      </c>
      <c r="DD15" s="409">
        <v>0</v>
      </c>
      <c r="DE15" s="409">
        <v>0</v>
      </c>
      <c r="DF15" s="409">
        <v>0</v>
      </c>
      <c r="DG15" s="409">
        <v>1.3613511582130533E-2</v>
      </c>
      <c r="DH15" s="409">
        <v>0</v>
      </c>
      <c r="DI15" s="409">
        <v>-1.6332500979062969E-3</v>
      </c>
      <c r="DJ15" s="409"/>
      <c r="DK15" s="409">
        <v>0</v>
      </c>
      <c r="DL15" s="409">
        <v>0</v>
      </c>
      <c r="DM15" s="409">
        <v>0</v>
      </c>
      <c r="DN15" s="409">
        <v>0</v>
      </c>
      <c r="DO15" s="409">
        <v>-5.128366950827995E-4</v>
      </c>
      <c r="DP15" s="409">
        <v>-9.1016523887966876E-4</v>
      </c>
      <c r="DQ15" s="409">
        <v>0</v>
      </c>
      <c r="DR15" s="409">
        <v>-1.5078570864800397E-3</v>
      </c>
      <c r="DS15" s="409"/>
      <c r="DT15" s="409"/>
      <c r="DU15" s="409"/>
      <c r="DV15" s="409">
        <v>11.993631701500799</v>
      </c>
      <c r="DW15" s="409">
        <v>0</v>
      </c>
      <c r="DX15" s="409">
        <v>0</v>
      </c>
      <c r="DY15" s="409">
        <v>-2.5874999999999986</v>
      </c>
      <c r="DZ15" s="409">
        <v>7.6140000000000096E-2</v>
      </c>
      <c r="EA15" s="409">
        <v>0</v>
      </c>
      <c r="EB15" s="409">
        <v>0</v>
      </c>
      <c r="EC15" s="409">
        <v>-2.7492224095215914</v>
      </c>
      <c r="ED15" s="409">
        <v>0</v>
      </c>
      <c r="EE15" s="409">
        <v>0</v>
      </c>
      <c r="EF15" s="409">
        <v>0</v>
      </c>
      <c r="EG15" s="409">
        <v>0</v>
      </c>
      <c r="EH15" s="409">
        <v>0</v>
      </c>
      <c r="EI15" s="409">
        <v>0</v>
      </c>
      <c r="EJ15" s="409">
        <v>0</v>
      </c>
      <c r="EK15" s="409">
        <v>0</v>
      </c>
      <c r="EL15" s="409">
        <v>0</v>
      </c>
      <c r="EM15" s="409">
        <v>0</v>
      </c>
      <c r="EN15" s="409">
        <v>0</v>
      </c>
      <c r="EO15" s="409">
        <v>0</v>
      </c>
      <c r="EP15" s="409">
        <v>0</v>
      </c>
      <c r="EQ15" s="409">
        <v>0</v>
      </c>
      <c r="ER15" s="409">
        <v>0</v>
      </c>
      <c r="ES15" s="409">
        <v>0</v>
      </c>
      <c r="ET15" s="409">
        <v>0</v>
      </c>
      <c r="EU15" s="409">
        <v>0</v>
      </c>
      <c r="EV15" s="409">
        <v>254</v>
      </c>
      <c r="EW15" s="409">
        <v>0</v>
      </c>
      <c r="EX15" s="409">
        <v>0</v>
      </c>
      <c r="EY15" s="409">
        <v>0</v>
      </c>
      <c r="EZ15" s="409"/>
      <c r="FA15" s="409">
        <v>0</v>
      </c>
      <c r="FB15" s="409"/>
      <c r="FC15" s="409"/>
      <c r="FD15" s="409"/>
      <c r="FE15" s="409"/>
      <c r="FF15" s="409">
        <v>0</v>
      </c>
      <c r="FG15" s="409">
        <v>0</v>
      </c>
      <c r="FH15" s="409">
        <v>0</v>
      </c>
      <c r="FI15" s="409">
        <v>0</v>
      </c>
    </row>
    <row r="16" spans="1:165" customFormat="1">
      <c r="A16" s="409">
        <v>14</v>
      </c>
      <c r="B16" s="409" t="s">
        <v>1035</v>
      </c>
      <c r="C16" s="409" t="s">
        <v>2252</v>
      </c>
      <c r="D16" s="409" t="s">
        <v>1994</v>
      </c>
      <c r="E16" s="409" t="s">
        <v>997</v>
      </c>
      <c r="F16" s="409" t="s">
        <v>1323</v>
      </c>
      <c r="G16" s="409" t="s">
        <v>1323</v>
      </c>
      <c r="H16" s="409" t="s">
        <v>1323</v>
      </c>
      <c r="I16" s="409" t="s">
        <v>2237</v>
      </c>
      <c r="J16" s="409" t="s">
        <v>2245</v>
      </c>
      <c r="K16" s="835">
        <v>44317</v>
      </c>
      <c r="L16" s="409">
        <v>0</v>
      </c>
      <c r="M16" s="409">
        <v>0</v>
      </c>
      <c r="N16" s="409">
        <v>0.32700000000000001</v>
      </c>
      <c r="O16" s="409">
        <v>0.32700000000000001</v>
      </c>
      <c r="P16" s="409">
        <v>0.32700000000000001</v>
      </c>
      <c r="Q16" s="409">
        <v>0.32700000000000001</v>
      </c>
      <c r="R16" s="409"/>
      <c r="S16" s="409">
        <v>412.48</v>
      </c>
      <c r="T16" s="409">
        <v>243.39</v>
      </c>
      <c r="U16" s="409"/>
      <c r="V16" s="409">
        <v>214.46949000000001</v>
      </c>
      <c r="W16" s="409">
        <v>214.46949000000001</v>
      </c>
      <c r="X16" s="409">
        <v>198.76695000000001</v>
      </c>
      <c r="Y16" s="409">
        <v>0</v>
      </c>
      <c r="Z16" s="409">
        <v>8.1368971311196159</v>
      </c>
      <c r="AA16" s="409">
        <v>0</v>
      </c>
      <c r="AB16" s="409">
        <v>0</v>
      </c>
      <c r="AC16" s="409">
        <v>0</v>
      </c>
      <c r="AD16" s="409">
        <v>24.908942403118303</v>
      </c>
      <c r="AE16" s="409">
        <v>87.153760489810708</v>
      </c>
      <c r="AF16" s="409">
        <v>79.587629050011373</v>
      </c>
      <c r="AG16" s="409">
        <v>0</v>
      </c>
      <c r="AH16" s="409">
        <v>0</v>
      </c>
      <c r="AI16" s="409">
        <v>0</v>
      </c>
      <c r="AJ16" s="409">
        <v>0</v>
      </c>
      <c r="AK16" s="409">
        <v>0</v>
      </c>
      <c r="AL16" s="409">
        <v>3.3220226999100508</v>
      </c>
      <c r="AM16" s="409"/>
      <c r="AN16" s="409">
        <v>0.56141695439140438</v>
      </c>
      <c r="AO16" s="409">
        <v>0</v>
      </c>
      <c r="AP16" s="409">
        <v>0</v>
      </c>
      <c r="AQ16" s="409">
        <v>0</v>
      </c>
      <c r="AR16" s="409">
        <v>0</v>
      </c>
      <c r="AS16" s="409">
        <v>0</v>
      </c>
      <c r="AT16" s="409">
        <v>0</v>
      </c>
      <c r="AU16" s="409">
        <v>0</v>
      </c>
      <c r="AV16" s="409">
        <v>0</v>
      </c>
      <c r="AW16" s="409">
        <v>0</v>
      </c>
      <c r="AX16" s="409">
        <v>0</v>
      </c>
      <c r="AY16" s="409">
        <v>0</v>
      </c>
      <c r="AZ16" s="409">
        <v>0</v>
      </c>
      <c r="BA16" s="409"/>
      <c r="BB16" s="409">
        <v>0</v>
      </c>
      <c r="BC16" s="409">
        <v>0</v>
      </c>
      <c r="BD16" s="409">
        <v>0</v>
      </c>
      <c r="BE16" s="409">
        <v>0</v>
      </c>
      <c r="BF16" s="409">
        <v>0</v>
      </c>
      <c r="BG16" s="409">
        <v>10.797320693574788</v>
      </c>
      <c r="BH16" s="409">
        <v>0</v>
      </c>
      <c r="BI16" s="409">
        <v>0</v>
      </c>
      <c r="BJ16" s="409">
        <v>0</v>
      </c>
      <c r="BK16" s="409">
        <v>0</v>
      </c>
      <c r="BL16" s="409">
        <v>0</v>
      </c>
      <c r="BM16" s="409"/>
      <c r="BN16" s="409"/>
      <c r="BO16" s="409"/>
      <c r="BP16" s="409"/>
      <c r="BQ16" s="409"/>
      <c r="BR16" s="409"/>
      <c r="BS16" s="409"/>
      <c r="BT16" s="409"/>
      <c r="BU16" s="409"/>
      <c r="BV16" s="409">
        <v>90.384949743586162</v>
      </c>
      <c r="BW16" s="409"/>
      <c r="BX16" s="409"/>
      <c r="BY16" s="409"/>
      <c r="BZ16" s="409"/>
      <c r="CA16" s="409"/>
      <c r="CB16" s="409"/>
      <c r="CC16" s="409"/>
      <c r="CD16" s="409"/>
      <c r="CE16" s="409"/>
      <c r="CF16" s="409"/>
      <c r="CG16" s="409"/>
      <c r="CH16" s="409"/>
      <c r="CI16" s="409">
        <v>200.59050000000002</v>
      </c>
      <c r="CJ16" s="409">
        <v>-13.90898999999996</v>
      </c>
      <c r="CK16" s="409"/>
      <c r="CL16" s="409"/>
      <c r="CM16" s="409"/>
      <c r="CN16" s="409"/>
      <c r="CO16" s="409">
        <v>-18.468960000000006</v>
      </c>
      <c r="CP16" s="409">
        <v>2.7664200000000028</v>
      </c>
      <c r="CQ16" s="409">
        <v>31</v>
      </c>
      <c r="CR16" s="409">
        <v>4.2757345106521143</v>
      </c>
      <c r="CS16" s="409">
        <v>0</v>
      </c>
      <c r="CT16" s="409">
        <v>0</v>
      </c>
      <c r="CU16" s="409">
        <v>0</v>
      </c>
      <c r="CV16" s="409">
        <v>0</v>
      </c>
      <c r="CW16" s="409">
        <v>0</v>
      </c>
      <c r="CX16" s="409">
        <v>0</v>
      </c>
      <c r="CY16" s="409">
        <v>0</v>
      </c>
      <c r="CZ16" s="409">
        <v>0.93385165035270745</v>
      </c>
      <c r="DA16" s="409">
        <v>0</v>
      </c>
      <c r="DB16" s="409">
        <v>0</v>
      </c>
      <c r="DC16" s="409">
        <v>3.6459018654428945</v>
      </c>
      <c r="DD16" s="409">
        <v>0</v>
      </c>
      <c r="DE16" s="409">
        <v>0</v>
      </c>
      <c r="DF16" s="409">
        <v>0</v>
      </c>
      <c r="DG16" s="409">
        <v>0.49462425415074307</v>
      </c>
      <c r="DH16" s="409">
        <v>0</v>
      </c>
      <c r="DI16" s="409">
        <v>-5.9341420223928409E-2</v>
      </c>
      <c r="DJ16" s="409"/>
      <c r="DK16" s="409">
        <v>0</v>
      </c>
      <c r="DL16" s="409">
        <v>0</v>
      </c>
      <c r="DM16" s="409">
        <v>0</v>
      </c>
      <c r="DN16" s="409">
        <v>0</v>
      </c>
      <c r="DO16" s="409">
        <v>-1.863306658800834E-2</v>
      </c>
      <c r="DP16" s="409">
        <v>-3.3069337012627931E-2</v>
      </c>
      <c r="DQ16" s="409">
        <v>0</v>
      </c>
      <c r="DR16" s="409">
        <v>-0.68759943546966051</v>
      </c>
      <c r="DS16" s="409"/>
      <c r="DT16" s="409"/>
      <c r="DU16" s="409"/>
      <c r="DV16" s="409">
        <v>87.153760489810708</v>
      </c>
      <c r="DW16" s="409">
        <v>0</v>
      </c>
      <c r="DX16" s="409">
        <v>0</v>
      </c>
      <c r="DY16" s="409">
        <v>-18.46896000000001</v>
      </c>
      <c r="DZ16" s="409">
        <v>2.7664199999999965</v>
      </c>
      <c r="EA16" s="409">
        <v>0</v>
      </c>
      <c r="EB16" s="409">
        <v>0</v>
      </c>
      <c r="EC16" s="409">
        <v>-19.977691276169438</v>
      </c>
      <c r="ED16" s="409">
        <v>0</v>
      </c>
      <c r="EE16" s="409">
        <v>0</v>
      </c>
      <c r="EF16" s="409">
        <v>0</v>
      </c>
      <c r="EG16" s="409">
        <v>0</v>
      </c>
      <c r="EH16" s="409">
        <v>0</v>
      </c>
      <c r="EI16" s="409">
        <v>0</v>
      </c>
      <c r="EJ16" s="409">
        <v>0</v>
      </c>
      <c r="EK16" s="409">
        <v>0</v>
      </c>
      <c r="EL16" s="409">
        <v>0</v>
      </c>
      <c r="EM16" s="409">
        <v>0</v>
      </c>
      <c r="EN16" s="409">
        <v>0</v>
      </c>
      <c r="EO16" s="409">
        <v>0</v>
      </c>
      <c r="EP16" s="409">
        <v>0</v>
      </c>
      <c r="EQ16" s="409">
        <v>0</v>
      </c>
      <c r="ER16" s="409">
        <v>0</v>
      </c>
      <c r="ES16" s="409">
        <v>0</v>
      </c>
      <c r="ET16" s="409">
        <v>0</v>
      </c>
      <c r="EU16" s="409">
        <v>0</v>
      </c>
      <c r="EV16" s="409">
        <v>254</v>
      </c>
      <c r="EW16" s="409">
        <v>0</v>
      </c>
      <c r="EX16" s="409">
        <v>0</v>
      </c>
      <c r="EY16" s="409">
        <v>0</v>
      </c>
      <c r="EZ16" s="409"/>
      <c r="FA16" s="409">
        <v>0</v>
      </c>
      <c r="FB16" s="409"/>
      <c r="FC16" s="409"/>
      <c r="FD16" s="409"/>
      <c r="FE16" s="409"/>
      <c r="FF16" s="409">
        <v>0</v>
      </c>
      <c r="FG16" s="409">
        <v>0</v>
      </c>
      <c r="FH16" s="409">
        <v>0</v>
      </c>
      <c r="FI16" s="409">
        <v>0</v>
      </c>
    </row>
    <row r="17" spans="1:165" customFormat="1">
      <c r="A17" s="409">
        <v>15</v>
      </c>
      <c r="B17" s="409" t="s">
        <v>1035</v>
      </c>
      <c r="C17" s="409" t="s">
        <v>2252</v>
      </c>
      <c r="D17" s="409" t="s">
        <v>1994</v>
      </c>
      <c r="E17" s="409" t="s">
        <v>997</v>
      </c>
      <c r="F17" s="409" t="s">
        <v>1323</v>
      </c>
      <c r="G17" s="409" t="s">
        <v>1323</v>
      </c>
      <c r="H17" s="409" t="s">
        <v>1323</v>
      </c>
      <c r="I17" s="409" t="s">
        <v>1323</v>
      </c>
      <c r="J17" s="409" t="s">
        <v>2245</v>
      </c>
      <c r="K17" s="835">
        <v>44317</v>
      </c>
      <c r="L17" s="409">
        <v>0</v>
      </c>
      <c r="M17" s="409">
        <v>0</v>
      </c>
      <c r="N17" s="409">
        <v>0</v>
      </c>
      <c r="O17" s="409">
        <v>0</v>
      </c>
      <c r="P17" s="409">
        <v>0</v>
      </c>
      <c r="Q17" s="409">
        <v>0</v>
      </c>
      <c r="R17" s="409"/>
      <c r="S17" s="409"/>
      <c r="T17" s="409"/>
      <c r="U17" s="409"/>
      <c r="V17" s="409"/>
      <c r="W17" s="409"/>
      <c r="X17" s="409"/>
      <c r="Y17" s="409"/>
      <c r="Z17" s="409"/>
      <c r="AA17" s="409">
        <v>0</v>
      </c>
      <c r="AB17" s="409"/>
      <c r="AC17" s="409"/>
      <c r="AD17" s="409"/>
      <c r="AE17" s="409"/>
      <c r="AF17" s="409"/>
      <c r="AG17" s="409"/>
      <c r="AH17" s="409"/>
      <c r="AI17" s="409"/>
      <c r="AJ17" s="409"/>
      <c r="AK17" s="409"/>
      <c r="AL17" s="409"/>
      <c r="AM17" s="409"/>
      <c r="AN17" s="409"/>
      <c r="AO17" s="409"/>
      <c r="AP17" s="409"/>
      <c r="AQ17" s="409"/>
      <c r="AR17" s="409"/>
      <c r="AS17" s="409"/>
      <c r="AT17" s="409"/>
      <c r="AU17" s="409"/>
      <c r="AV17" s="409"/>
      <c r="AW17" s="409"/>
      <c r="AX17" s="409"/>
      <c r="AY17" s="409"/>
      <c r="AZ17" s="409">
        <v>0</v>
      </c>
      <c r="BA17" s="409"/>
      <c r="BB17" s="409"/>
      <c r="BC17" s="409"/>
      <c r="BD17" s="409"/>
      <c r="BE17" s="409"/>
      <c r="BF17" s="409"/>
      <c r="BG17" s="409"/>
      <c r="BH17" s="409"/>
      <c r="BI17" s="409">
        <v>0</v>
      </c>
      <c r="BJ17" s="409">
        <v>0</v>
      </c>
      <c r="BK17" s="409">
        <v>0</v>
      </c>
      <c r="BL17" s="409">
        <v>1</v>
      </c>
      <c r="BM17" s="409"/>
      <c r="BN17" s="409"/>
      <c r="BO17" s="409"/>
      <c r="BP17" s="409"/>
      <c r="BQ17" s="409"/>
      <c r="BR17" s="409"/>
      <c r="BS17" s="409"/>
      <c r="BT17" s="409"/>
      <c r="BU17" s="409"/>
      <c r="BV17" s="409"/>
      <c r="BW17" s="409"/>
      <c r="BX17" s="409"/>
      <c r="BY17" s="409"/>
      <c r="BZ17" s="409"/>
      <c r="CA17" s="409"/>
      <c r="CB17" s="409"/>
      <c r="CC17" s="409"/>
      <c r="CD17" s="409"/>
      <c r="CE17" s="409"/>
      <c r="CF17" s="409"/>
      <c r="CG17" s="409"/>
      <c r="CH17" s="409"/>
      <c r="CI17" s="409"/>
      <c r="CJ17" s="409">
        <v>-0.03</v>
      </c>
      <c r="CK17" s="409"/>
      <c r="CL17" s="409"/>
      <c r="CM17" s="409"/>
      <c r="CN17" s="409"/>
      <c r="CO17" s="409">
        <v>0</v>
      </c>
      <c r="CP17" s="409">
        <v>0</v>
      </c>
      <c r="CQ17" s="409">
        <v>31</v>
      </c>
      <c r="CR17" s="409"/>
      <c r="CS17" s="409"/>
      <c r="CT17" s="409"/>
      <c r="CU17" s="409"/>
      <c r="CV17" s="409"/>
      <c r="CW17" s="409"/>
      <c r="CX17" s="409"/>
      <c r="CY17" s="409"/>
      <c r="CZ17" s="409"/>
      <c r="DA17" s="409"/>
      <c r="DB17" s="409"/>
      <c r="DC17" s="409"/>
      <c r="DD17" s="409"/>
      <c r="DE17" s="409"/>
      <c r="DF17" s="409"/>
      <c r="DG17" s="409"/>
      <c r="DH17" s="409"/>
      <c r="DI17" s="409"/>
      <c r="DJ17" s="409"/>
      <c r="DK17" s="409">
        <v>0</v>
      </c>
      <c r="DL17" s="409"/>
      <c r="DM17" s="409"/>
      <c r="DN17" s="409"/>
      <c r="DO17" s="409"/>
      <c r="DP17" s="409"/>
      <c r="DQ17" s="409"/>
      <c r="DR17" s="409"/>
      <c r="DS17" s="409"/>
      <c r="DT17" s="409"/>
      <c r="DU17" s="409"/>
      <c r="DV17" s="409"/>
      <c r="DW17" s="409"/>
      <c r="DX17" s="409"/>
      <c r="DY17" s="409"/>
      <c r="DZ17" s="409"/>
      <c r="EA17" s="409"/>
      <c r="EB17" s="409"/>
      <c r="EC17" s="409"/>
      <c r="ED17" s="409"/>
      <c r="EE17" s="409"/>
      <c r="EF17" s="409"/>
      <c r="EG17" s="409"/>
      <c r="EH17" s="409"/>
      <c r="EI17" s="409"/>
      <c r="EJ17" s="409"/>
      <c r="EK17" s="409"/>
      <c r="EL17" s="409"/>
      <c r="EM17" s="409"/>
      <c r="EN17" s="409"/>
      <c r="EO17" s="409"/>
      <c r="EP17" s="409"/>
      <c r="EQ17" s="409"/>
      <c r="ER17" s="409"/>
      <c r="ES17" s="409"/>
      <c r="ET17" s="409"/>
      <c r="EU17" s="409"/>
      <c r="EV17" s="409">
        <v>254</v>
      </c>
      <c r="EW17" s="409"/>
      <c r="EX17" s="409"/>
      <c r="EY17" s="409"/>
      <c r="EZ17" s="409"/>
      <c r="FA17" s="409">
        <v>0</v>
      </c>
      <c r="FB17" s="409"/>
      <c r="FC17" s="409"/>
      <c r="FD17" s="409"/>
      <c r="FE17" s="409"/>
      <c r="FF17" s="409">
        <v>0</v>
      </c>
      <c r="FG17" s="409">
        <v>0</v>
      </c>
      <c r="FH17" s="409">
        <v>0</v>
      </c>
      <c r="FI17" s="409">
        <v>0</v>
      </c>
    </row>
    <row r="18" spans="1:165" customFormat="1">
      <c r="A18" s="409">
        <v>16</v>
      </c>
      <c r="B18" s="409" t="s">
        <v>1035</v>
      </c>
      <c r="C18" s="409" t="s">
        <v>2252</v>
      </c>
      <c r="D18" s="409" t="s">
        <v>1994</v>
      </c>
      <c r="E18" s="409" t="s">
        <v>997</v>
      </c>
      <c r="F18" s="409" t="s">
        <v>1323</v>
      </c>
      <c r="G18" s="409" t="s">
        <v>1323</v>
      </c>
      <c r="H18" s="409" t="s">
        <v>1323</v>
      </c>
      <c r="I18" s="409" t="s">
        <v>2253</v>
      </c>
      <c r="J18" s="409" t="s">
        <v>2245</v>
      </c>
      <c r="K18" s="835">
        <v>44317</v>
      </c>
      <c r="L18" s="409">
        <v>0</v>
      </c>
      <c r="M18" s="409">
        <v>0</v>
      </c>
      <c r="N18" s="409">
        <v>1.0999999999999999E-2</v>
      </c>
      <c r="O18" s="409">
        <v>1.0999999999999999E-2</v>
      </c>
      <c r="P18" s="409">
        <v>1.0999999999999999E-2</v>
      </c>
      <c r="Q18" s="409">
        <v>1.0999999999999999E-2</v>
      </c>
      <c r="R18" s="409"/>
      <c r="S18" s="409">
        <v>1097.8699999999999</v>
      </c>
      <c r="T18" s="409">
        <v>243.39</v>
      </c>
      <c r="U18" s="409"/>
      <c r="V18" s="409">
        <v>14.753859999999998</v>
      </c>
      <c r="W18" s="409">
        <v>14.753859999999998</v>
      </c>
      <c r="X18" s="409">
        <v>12.955030000000001</v>
      </c>
      <c r="Y18" s="409">
        <v>0</v>
      </c>
      <c r="Z18" s="409">
        <v>0.2737182521171736</v>
      </c>
      <c r="AA18" s="409">
        <v>0</v>
      </c>
      <c r="AB18" s="409">
        <v>0</v>
      </c>
      <c r="AC18" s="409">
        <v>0</v>
      </c>
      <c r="AD18" s="409">
        <v>2.5137261281960188</v>
      </c>
      <c r="AE18" s="409">
        <v>8.7953284704979762</v>
      </c>
      <c r="AF18" s="409">
        <v>2.6772596928138377</v>
      </c>
      <c r="AG18" s="409">
        <v>0</v>
      </c>
      <c r="AH18" s="409">
        <v>0</v>
      </c>
      <c r="AI18" s="409">
        <v>0</v>
      </c>
      <c r="AJ18" s="409">
        <v>0</v>
      </c>
      <c r="AK18" s="409">
        <v>0</v>
      </c>
      <c r="AL18" s="409">
        <v>0.11174999907954299</v>
      </c>
      <c r="AM18" s="409"/>
      <c r="AN18" s="409">
        <v>1.8885585621729199E-2</v>
      </c>
      <c r="AO18" s="409">
        <v>0</v>
      </c>
      <c r="AP18" s="409">
        <v>0</v>
      </c>
      <c r="AQ18" s="409">
        <v>0</v>
      </c>
      <c r="AR18" s="409">
        <v>0</v>
      </c>
      <c r="AS18" s="409">
        <v>0</v>
      </c>
      <c r="AT18" s="409">
        <v>0</v>
      </c>
      <c r="AU18" s="409">
        <v>0</v>
      </c>
      <c r="AV18" s="409">
        <v>0</v>
      </c>
      <c r="AW18" s="409">
        <v>0</v>
      </c>
      <c r="AX18" s="409">
        <v>0</v>
      </c>
      <c r="AY18" s="409">
        <v>0</v>
      </c>
      <c r="AZ18" s="409">
        <v>0</v>
      </c>
      <c r="BA18" s="409"/>
      <c r="BB18" s="409">
        <v>0</v>
      </c>
      <c r="BC18" s="409">
        <v>0</v>
      </c>
      <c r="BD18" s="409">
        <v>0</v>
      </c>
      <c r="BE18" s="409">
        <v>0</v>
      </c>
      <c r="BF18" s="409">
        <v>0</v>
      </c>
      <c r="BG18" s="409">
        <v>0.36321262271964116</v>
      </c>
      <c r="BH18" s="409">
        <v>0</v>
      </c>
      <c r="BI18" s="409">
        <v>0</v>
      </c>
      <c r="BJ18" s="409">
        <v>0</v>
      </c>
      <c r="BK18" s="409">
        <v>0</v>
      </c>
      <c r="BL18" s="409">
        <v>0</v>
      </c>
      <c r="BM18" s="409"/>
      <c r="BN18" s="409"/>
      <c r="BO18" s="409"/>
      <c r="BP18" s="409"/>
      <c r="BQ18" s="409"/>
      <c r="BR18" s="409"/>
      <c r="BS18" s="409"/>
      <c r="BT18" s="409"/>
      <c r="BU18" s="409"/>
      <c r="BV18" s="409">
        <v>3.0404723155334787</v>
      </c>
      <c r="BW18" s="409"/>
      <c r="BX18" s="409"/>
      <c r="BY18" s="409"/>
      <c r="BZ18" s="409"/>
      <c r="CA18" s="409"/>
      <c r="CB18" s="409"/>
      <c r="CC18" s="409"/>
      <c r="CD18" s="409"/>
      <c r="CE18" s="409"/>
      <c r="CF18" s="409"/>
      <c r="CG18" s="409"/>
      <c r="CH18" s="409"/>
      <c r="CI18" s="409">
        <v>11.7773</v>
      </c>
      <c r="CJ18" s="409">
        <v>-3.0065599999999968</v>
      </c>
      <c r="CK18" s="409"/>
      <c r="CL18" s="409"/>
      <c r="CM18" s="409"/>
      <c r="CN18" s="409"/>
      <c r="CO18" s="409">
        <v>-1.8918899999999987</v>
      </c>
      <c r="CP18" s="409">
        <v>9.3060000000000087E-2</v>
      </c>
      <c r="CQ18" s="409">
        <v>31</v>
      </c>
      <c r="CR18" s="409">
        <v>0.21730289944307657</v>
      </c>
      <c r="CS18" s="409">
        <v>0</v>
      </c>
      <c r="CT18" s="409">
        <v>0</v>
      </c>
      <c r="CU18" s="409">
        <v>0</v>
      </c>
      <c r="CV18" s="409">
        <v>0</v>
      </c>
      <c r="CW18" s="409">
        <v>0</v>
      </c>
      <c r="CX18" s="409">
        <v>0</v>
      </c>
      <c r="CY18" s="409">
        <v>0</v>
      </c>
      <c r="CZ18" s="409">
        <v>9.4241146627595196E-2</v>
      </c>
      <c r="DA18" s="409">
        <v>0</v>
      </c>
      <c r="DB18" s="409">
        <v>0</v>
      </c>
      <c r="DC18" s="409">
        <v>0.12264501688034191</v>
      </c>
      <c r="DD18" s="409">
        <v>0</v>
      </c>
      <c r="DE18" s="409">
        <v>0</v>
      </c>
      <c r="DF18" s="409">
        <v>0</v>
      </c>
      <c r="DG18" s="409">
        <v>1.6638736378159547E-2</v>
      </c>
      <c r="DH18" s="409">
        <v>0</v>
      </c>
      <c r="DI18" s="409">
        <v>-1.9961945641077117E-3</v>
      </c>
      <c r="DJ18" s="409"/>
      <c r="DK18" s="409">
        <v>0</v>
      </c>
      <c r="DL18" s="409">
        <v>0</v>
      </c>
      <c r="DM18" s="409">
        <v>0</v>
      </c>
      <c r="DN18" s="409">
        <v>0</v>
      </c>
      <c r="DO18" s="409">
        <v>-6.2680040510119939E-4</v>
      </c>
      <c r="DP18" s="409">
        <v>-1.1124241808529306E-3</v>
      </c>
      <c r="DQ18" s="409">
        <v>0</v>
      </c>
      <c r="DR18" s="409">
        <v>-1.2486581292958848E-2</v>
      </c>
      <c r="DS18" s="409"/>
      <c r="DT18" s="409"/>
      <c r="DU18" s="409"/>
      <c r="DV18" s="409">
        <v>8.7953284704979762</v>
      </c>
      <c r="DW18" s="409">
        <v>0</v>
      </c>
      <c r="DX18" s="409">
        <v>0</v>
      </c>
      <c r="DY18" s="409">
        <v>-1.8918899999999983</v>
      </c>
      <c r="DZ18" s="409">
        <v>9.3059999999999921E-2</v>
      </c>
      <c r="EA18" s="409">
        <v>0</v>
      </c>
      <c r="EB18" s="409">
        <v>0</v>
      </c>
      <c r="EC18" s="409">
        <v>-2.0160961026650837</v>
      </c>
      <c r="ED18" s="409">
        <v>0</v>
      </c>
      <c r="EE18" s="409">
        <v>0</v>
      </c>
      <c r="EF18" s="409">
        <v>0</v>
      </c>
      <c r="EG18" s="409">
        <v>0</v>
      </c>
      <c r="EH18" s="409">
        <v>0</v>
      </c>
      <c r="EI18" s="409">
        <v>0</v>
      </c>
      <c r="EJ18" s="409">
        <v>0</v>
      </c>
      <c r="EK18" s="409">
        <v>0</v>
      </c>
      <c r="EL18" s="409">
        <v>0</v>
      </c>
      <c r="EM18" s="409">
        <v>0</v>
      </c>
      <c r="EN18" s="409">
        <v>0</v>
      </c>
      <c r="EO18" s="409">
        <v>0</v>
      </c>
      <c r="EP18" s="409">
        <v>0</v>
      </c>
      <c r="EQ18" s="409">
        <v>0</v>
      </c>
      <c r="ER18" s="409">
        <v>0</v>
      </c>
      <c r="ES18" s="409">
        <v>0</v>
      </c>
      <c r="ET18" s="409">
        <v>0</v>
      </c>
      <c r="EU18" s="409">
        <v>0</v>
      </c>
      <c r="EV18" s="409">
        <v>254</v>
      </c>
      <c r="EW18" s="409">
        <v>0</v>
      </c>
      <c r="EX18" s="409">
        <v>0</v>
      </c>
      <c r="EY18" s="409">
        <v>0</v>
      </c>
      <c r="EZ18" s="409"/>
      <c r="FA18" s="409">
        <v>0</v>
      </c>
      <c r="FB18" s="409"/>
      <c r="FC18" s="409"/>
      <c r="FD18" s="409"/>
      <c r="FE18" s="409"/>
      <c r="FF18" s="409">
        <v>0</v>
      </c>
      <c r="FG18" s="409">
        <v>0</v>
      </c>
      <c r="FH18" s="409">
        <v>0</v>
      </c>
      <c r="FI18" s="409">
        <v>0</v>
      </c>
    </row>
    <row r="19" spans="1:165" customFormat="1">
      <c r="A19" s="409">
        <v>17</v>
      </c>
      <c r="B19" s="409" t="s">
        <v>1035</v>
      </c>
      <c r="C19" s="409" t="s">
        <v>2244</v>
      </c>
      <c r="D19" s="409" t="s">
        <v>2254</v>
      </c>
      <c r="E19" s="409" t="s">
        <v>973</v>
      </c>
      <c r="F19" s="409" t="s">
        <v>1323</v>
      </c>
      <c r="G19" s="409" t="s">
        <v>1323</v>
      </c>
      <c r="H19" s="409" t="s">
        <v>1323</v>
      </c>
      <c r="I19" s="409" t="s">
        <v>1323</v>
      </c>
      <c r="J19" s="409" t="s">
        <v>2245</v>
      </c>
      <c r="K19" s="835">
        <v>44317</v>
      </c>
      <c r="L19" s="409">
        <v>0</v>
      </c>
      <c r="M19" s="409">
        <v>0</v>
      </c>
      <c r="N19" s="409">
        <v>206.80799999999999</v>
      </c>
      <c r="O19" s="409">
        <v>206.80799999999999</v>
      </c>
      <c r="P19" s="409">
        <v>206.80799999999999</v>
      </c>
      <c r="Q19" s="409">
        <v>206.80799999999999</v>
      </c>
      <c r="R19" s="409"/>
      <c r="S19" s="409">
        <v>597.01</v>
      </c>
      <c r="T19" s="409">
        <v>243.39</v>
      </c>
      <c r="U19" s="409"/>
      <c r="V19" s="409">
        <v>173801.44319999998</v>
      </c>
      <c r="W19" s="409">
        <v>173801.44319999998</v>
      </c>
      <c r="X19" s="409">
        <v>157438.79423999999</v>
      </c>
      <c r="Y19" s="409">
        <v>0</v>
      </c>
      <c r="Z19" s="409">
        <v>5146.1022076225854</v>
      </c>
      <c r="AA19" s="409">
        <v>0</v>
      </c>
      <c r="AB19" s="409">
        <v>0</v>
      </c>
      <c r="AC19" s="409">
        <v>0</v>
      </c>
      <c r="AD19" s="409">
        <v>24235.636280630275</v>
      </c>
      <c r="AE19" s="409">
        <v>84799.247229155895</v>
      </c>
      <c r="AF19" s="409">
        <v>50334.429322858559</v>
      </c>
      <c r="AG19" s="409">
        <v>0</v>
      </c>
      <c r="AH19" s="409">
        <v>0</v>
      </c>
      <c r="AI19" s="409">
        <v>0</v>
      </c>
      <c r="AJ19" s="409">
        <v>0</v>
      </c>
      <c r="AK19" s="409">
        <v>0</v>
      </c>
      <c r="AL19" s="409">
        <v>2100.9812554220116</v>
      </c>
      <c r="AM19" s="409"/>
      <c r="AN19" s="409">
        <v>355.06274465987019</v>
      </c>
      <c r="AO19" s="409">
        <v>0</v>
      </c>
      <c r="AP19" s="409">
        <v>0</v>
      </c>
      <c r="AQ19" s="409">
        <v>0</v>
      </c>
      <c r="AR19" s="409">
        <v>0</v>
      </c>
      <c r="AS19" s="409">
        <v>0</v>
      </c>
      <c r="AT19" s="409">
        <v>0</v>
      </c>
      <c r="AU19" s="409">
        <v>0</v>
      </c>
      <c r="AV19" s="409">
        <v>0</v>
      </c>
      <c r="AW19" s="409">
        <v>0</v>
      </c>
      <c r="AX19" s="409">
        <v>0</v>
      </c>
      <c r="AY19" s="409">
        <v>0</v>
      </c>
      <c r="AZ19" s="409">
        <v>0</v>
      </c>
      <c r="BA19" s="409"/>
      <c r="BB19" s="409">
        <v>0</v>
      </c>
      <c r="BC19" s="409">
        <v>0</v>
      </c>
      <c r="BD19" s="409">
        <v>0</v>
      </c>
      <c r="BE19" s="409">
        <v>0</v>
      </c>
      <c r="BF19" s="409">
        <v>0</v>
      </c>
      <c r="BG19" s="409">
        <v>6828.6614617639589</v>
      </c>
      <c r="BH19" s="409">
        <v>0</v>
      </c>
      <c r="BI19" s="409">
        <v>111.32</v>
      </c>
      <c r="BJ19" s="409">
        <v>513.29999999999995</v>
      </c>
      <c r="BK19" s="409">
        <v>0</v>
      </c>
      <c r="BL19" s="409">
        <v>1819</v>
      </c>
      <c r="BM19" s="409"/>
      <c r="BN19" s="409"/>
      <c r="BO19" s="409"/>
      <c r="BP19" s="409"/>
      <c r="BQ19" s="409"/>
      <c r="BR19" s="409">
        <v>18893.978879999995</v>
      </c>
      <c r="BS19" s="409"/>
      <c r="BT19" s="409"/>
      <c r="BU19" s="409"/>
      <c r="BV19" s="409">
        <v>57163.090784622516</v>
      </c>
      <c r="BW19" s="409"/>
      <c r="BX19" s="409"/>
      <c r="BY19" s="409"/>
      <c r="BZ19" s="409"/>
      <c r="CA19" s="409"/>
      <c r="CB19" s="409"/>
      <c r="CC19" s="409"/>
      <c r="CD19" s="409"/>
      <c r="CE19" s="409"/>
      <c r="CF19" s="409"/>
      <c r="CG19" s="409"/>
      <c r="CH19" s="409"/>
      <c r="CI19" s="409">
        <v>138546.15520000001</v>
      </c>
      <c r="CJ19" s="409">
        <v>-14398.73119999998</v>
      </c>
      <c r="CK19" s="409"/>
      <c r="CL19" s="409"/>
      <c r="CM19" s="409"/>
      <c r="CN19" s="409"/>
      <c r="CO19" s="409">
        <v>-18112.244639999997</v>
      </c>
      <c r="CP19" s="409">
        <v>1749.5956800000015</v>
      </c>
      <c r="CQ19" s="409">
        <v>31</v>
      </c>
      <c r="CR19" s="409">
        <v>3076.025589228404</v>
      </c>
      <c r="CS19" s="409">
        <v>0</v>
      </c>
      <c r="CT19" s="409">
        <v>0</v>
      </c>
      <c r="CU19" s="409">
        <v>0</v>
      </c>
      <c r="CV19" s="409">
        <v>0</v>
      </c>
      <c r="CW19" s="409">
        <v>0</v>
      </c>
      <c r="CX19" s="409">
        <v>0</v>
      </c>
      <c r="CY19" s="409">
        <v>0</v>
      </c>
      <c r="CZ19" s="409">
        <v>908.60898755715607</v>
      </c>
      <c r="DA19" s="409">
        <v>0</v>
      </c>
      <c r="DB19" s="409">
        <v>0</v>
      </c>
      <c r="DC19" s="409">
        <v>2305.8155137263457</v>
      </c>
      <c r="DD19" s="409">
        <v>0</v>
      </c>
      <c r="DE19" s="409">
        <v>0</v>
      </c>
      <c r="DF19" s="409">
        <v>0</v>
      </c>
      <c r="DG19" s="409">
        <v>312.8203448085842</v>
      </c>
      <c r="DH19" s="409">
        <v>0</v>
      </c>
      <c r="DI19" s="409">
        <v>-37.529909583089648</v>
      </c>
      <c r="DJ19" s="409"/>
      <c r="DK19" s="409">
        <v>0</v>
      </c>
      <c r="DL19" s="409">
        <v>0</v>
      </c>
      <c r="DM19" s="409">
        <v>0</v>
      </c>
      <c r="DN19" s="409">
        <v>0</v>
      </c>
      <c r="DO19" s="409">
        <v>-11.784303470742543</v>
      </c>
      <c r="DP19" s="409">
        <v>-20.914383635802949</v>
      </c>
      <c r="DQ19" s="409">
        <v>0</v>
      </c>
      <c r="DR19" s="409">
        <v>-380.99066017404675</v>
      </c>
      <c r="DS19" s="409"/>
      <c r="DT19" s="409"/>
      <c r="DU19" s="409"/>
      <c r="DV19" s="409">
        <v>84799.247229155895</v>
      </c>
      <c r="DW19" s="409">
        <v>0</v>
      </c>
      <c r="DX19" s="409">
        <v>0</v>
      </c>
      <c r="DY19" s="409">
        <v>-18112.24463999999</v>
      </c>
      <c r="DZ19" s="409">
        <v>1749.5956800000058</v>
      </c>
      <c r="EA19" s="409">
        <v>0</v>
      </c>
      <c r="EB19" s="409">
        <v>0</v>
      </c>
      <c r="EC19" s="409">
        <v>-19437.98147176583</v>
      </c>
      <c r="ED19" s="409">
        <v>0</v>
      </c>
      <c r="EE19" s="409">
        <v>0</v>
      </c>
      <c r="EF19" s="409">
        <v>0</v>
      </c>
      <c r="EG19" s="409">
        <v>0</v>
      </c>
      <c r="EH19" s="409">
        <v>0</v>
      </c>
      <c r="EI19" s="409">
        <v>0</v>
      </c>
      <c r="EJ19" s="409">
        <v>0</v>
      </c>
      <c r="EK19" s="409">
        <v>0</v>
      </c>
      <c r="EL19" s="409">
        <v>0</v>
      </c>
      <c r="EM19" s="409">
        <v>0</v>
      </c>
      <c r="EN19" s="409">
        <v>0</v>
      </c>
      <c r="EO19" s="409">
        <v>0</v>
      </c>
      <c r="EP19" s="409">
        <v>0</v>
      </c>
      <c r="EQ19" s="409">
        <v>0</v>
      </c>
      <c r="ER19" s="409">
        <v>0</v>
      </c>
      <c r="ES19" s="409">
        <v>0</v>
      </c>
      <c r="ET19" s="409">
        <v>0</v>
      </c>
      <c r="EU19" s="409">
        <v>0</v>
      </c>
      <c r="EV19" s="409">
        <v>254</v>
      </c>
      <c r="EW19" s="409">
        <v>0</v>
      </c>
      <c r="EX19" s="409">
        <v>0</v>
      </c>
      <c r="EY19" s="409">
        <v>0</v>
      </c>
      <c r="EZ19" s="409"/>
      <c r="FA19" s="409">
        <v>0</v>
      </c>
      <c r="FB19" s="409"/>
      <c r="FC19" s="409"/>
      <c r="FD19" s="409"/>
      <c r="FE19" s="409"/>
      <c r="FF19" s="409">
        <v>0</v>
      </c>
      <c r="FG19" s="409">
        <v>0</v>
      </c>
      <c r="FH19" s="409">
        <v>0</v>
      </c>
      <c r="FI19" s="409">
        <v>0</v>
      </c>
    </row>
    <row r="20" spans="1:165" customFormat="1">
      <c r="A20" s="409">
        <v>18</v>
      </c>
      <c r="B20" s="409" t="s">
        <v>1035</v>
      </c>
      <c r="C20" s="409" t="s">
        <v>2252</v>
      </c>
      <c r="D20" s="409" t="s">
        <v>2254</v>
      </c>
      <c r="E20" s="409" t="s">
        <v>973</v>
      </c>
      <c r="F20" s="409" t="s">
        <v>1323</v>
      </c>
      <c r="G20" s="409" t="s">
        <v>1323</v>
      </c>
      <c r="H20" s="409" t="s">
        <v>1323</v>
      </c>
      <c r="I20" s="409" t="s">
        <v>972</v>
      </c>
      <c r="J20" s="409" t="s">
        <v>2245</v>
      </c>
      <c r="K20" s="835">
        <v>44317</v>
      </c>
      <c r="L20" s="409">
        <v>0</v>
      </c>
      <c r="M20" s="409">
        <v>0</v>
      </c>
      <c r="N20" s="409">
        <v>0.03</v>
      </c>
      <c r="O20" s="409">
        <v>0.03</v>
      </c>
      <c r="P20" s="409">
        <v>0.03</v>
      </c>
      <c r="Q20" s="409">
        <v>0.03</v>
      </c>
      <c r="R20" s="409"/>
      <c r="S20" s="409">
        <v>1298.56</v>
      </c>
      <c r="T20" s="409">
        <v>214.18</v>
      </c>
      <c r="U20" s="409"/>
      <c r="V20" s="409">
        <v>45.382199999999997</v>
      </c>
      <c r="W20" s="409">
        <v>45.382199999999997</v>
      </c>
      <c r="X20" s="409">
        <v>39.384299999999996</v>
      </c>
      <c r="Y20" s="409">
        <v>0</v>
      </c>
      <c r="Z20" s="409">
        <v>0.65692380508121695</v>
      </c>
      <c r="AA20" s="409">
        <v>0</v>
      </c>
      <c r="AB20" s="409">
        <v>0</v>
      </c>
      <c r="AC20" s="409">
        <v>0</v>
      </c>
      <c r="AD20" s="409">
        <v>8.2496461738898699</v>
      </c>
      <c r="AE20" s="409">
        <v>28.864974469521869</v>
      </c>
      <c r="AF20" s="409">
        <v>6.4254232627532097</v>
      </c>
      <c r="AG20" s="409">
        <v>0</v>
      </c>
      <c r="AH20" s="409">
        <v>0</v>
      </c>
      <c r="AI20" s="409">
        <v>0</v>
      </c>
      <c r="AJ20" s="409">
        <v>0</v>
      </c>
      <c r="AK20" s="409">
        <v>0</v>
      </c>
      <c r="AL20" s="409">
        <v>0.26819999779090292</v>
      </c>
      <c r="AM20" s="409"/>
      <c r="AN20" s="409">
        <v>4.5325405492150202E-2</v>
      </c>
      <c r="AO20" s="409">
        <v>0</v>
      </c>
      <c r="AP20" s="409">
        <v>0</v>
      </c>
      <c r="AQ20" s="409">
        <v>0</v>
      </c>
      <c r="AR20" s="409">
        <v>0</v>
      </c>
      <c r="AS20" s="409">
        <v>0</v>
      </c>
      <c r="AT20" s="409">
        <v>0</v>
      </c>
      <c r="AU20" s="409">
        <v>0</v>
      </c>
      <c r="AV20" s="409">
        <v>0</v>
      </c>
      <c r="AW20" s="409">
        <v>0</v>
      </c>
      <c r="AX20" s="409">
        <v>0</v>
      </c>
      <c r="AY20" s="409">
        <v>0</v>
      </c>
      <c r="AZ20" s="409">
        <v>0</v>
      </c>
      <c r="BA20" s="409"/>
      <c r="BB20" s="409">
        <v>0</v>
      </c>
      <c r="BC20" s="409">
        <v>0</v>
      </c>
      <c r="BD20" s="409">
        <v>0</v>
      </c>
      <c r="BE20" s="409">
        <v>0</v>
      </c>
      <c r="BF20" s="409">
        <v>0</v>
      </c>
      <c r="BG20" s="409">
        <v>0.87171029452713888</v>
      </c>
      <c r="BH20" s="409">
        <v>0</v>
      </c>
      <c r="BI20" s="409">
        <v>0</v>
      </c>
      <c r="BJ20" s="409">
        <v>0</v>
      </c>
      <c r="BK20" s="409">
        <v>0</v>
      </c>
      <c r="BL20" s="409">
        <v>0</v>
      </c>
      <c r="BM20" s="409"/>
      <c r="BN20" s="409"/>
      <c r="BO20" s="409"/>
      <c r="BP20" s="409"/>
      <c r="BQ20" s="409"/>
      <c r="BR20" s="409"/>
      <c r="BS20" s="409"/>
      <c r="BT20" s="409"/>
      <c r="BU20" s="409"/>
      <c r="BV20" s="409">
        <v>7.2971335572803486</v>
      </c>
      <c r="BW20" s="409"/>
      <c r="BX20" s="409"/>
      <c r="BY20" s="409"/>
      <c r="BZ20" s="409"/>
      <c r="CA20" s="409"/>
      <c r="CB20" s="409"/>
      <c r="CC20" s="409"/>
      <c r="CD20" s="409"/>
      <c r="CE20" s="409"/>
      <c r="CF20" s="409"/>
      <c r="CG20" s="409"/>
      <c r="CH20" s="409"/>
      <c r="CI20" s="409">
        <v>39.384299999999996</v>
      </c>
      <c r="CJ20" s="409">
        <v>-6.0278999999999954</v>
      </c>
      <c r="CK20" s="409"/>
      <c r="CL20" s="409"/>
      <c r="CM20" s="409"/>
      <c r="CN20" s="409"/>
      <c r="CO20" s="409">
        <v>-6.2213999999999965</v>
      </c>
      <c r="CP20" s="409">
        <v>0.22349999999999964</v>
      </c>
      <c r="CQ20" s="409">
        <v>31</v>
      </c>
      <c r="CR20" s="409">
        <v>0.6187117447986239</v>
      </c>
      <c r="CS20" s="409">
        <v>0</v>
      </c>
      <c r="CT20" s="409">
        <v>0</v>
      </c>
      <c r="CU20" s="409">
        <v>0</v>
      </c>
      <c r="CV20" s="409">
        <v>0</v>
      </c>
      <c r="CW20" s="409">
        <v>0</v>
      </c>
      <c r="CX20" s="409">
        <v>0</v>
      </c>
      <c r="CY20" s="409">
        <v>0</v>
      </c>
      <c r="CZ20" s="409">
        <v>0.30928433530556987</v>
      </c>
      <c r="DA20" s="409">
        <v>0</v>
      </c>
      <c r="DB20" s="409">
        <v>0</v>
      </c>
      <c r="DC20" s="409">
        <v>0.29434804051281027</v>
      </c>
      <c r="DD20" s="409">
        <v>0</v>
      </c>
      <c r="DE20" s="409">
        <v>0</v>
      </c>
      <c r="DF20" s="409">
        <v>0</v>
      </c>
      <c r="DG20" s="409">
        <v>3.9932967307584111E-2</v>
      </c>
      <c r="DH20" s="409">
        <v>0</v>
      </c>
      <c r="DI20" s="409">
        <v>-4.7908669538579973E-3</v>
      </c>
      <c r="DJ20" s="409"/>
      <c r="DK20" s="409">
        <v>0</v>
      </c>
      <c r="DL20" s="409">
        <v>0</v>
      </c>
      <c r="DM20" s="409">
        <v>0</v>
      </c>
      <c r="DN20" s="409">
        <v>0</v>
      </c>
      <c r="DO20" s="409">
        <v>-1.504320972241513E-3</v>
      </c>
      <c r="DP20" s="409">
        <v>-2.6698180340472E-3</v>
      </c>
      <c r="DQ20" s="409">
        <v>0</v>
      </c>
      <c r="DR20" s="409">
        <v>-1.5888592367195399E-2</v>
      </c>
      <c r="DS20" s="409"/>
      <c r="DT20" s="409"/>
      <c r="DU20" s="409"/>
      <c r="DV20" s="409">
        <v>28.864974469521869</v>
      </c>
      <c r="DW20" s="409">
        <v>0</v>
      </c>
      <c r="DX20" s="409">
        <v>0</v>
      </c>
      <c r="DY20" s="409">
        <v>-6.2213999999999956</v>
      </c>
      <c r="DZ20" s="409">
        <v>0.22349999999999959</v>
      </c>
      <c r="EA20" s="409">
        <v>0</v>
      </c>
      <c r="EB20" s="409">
        <v>0</v>
      </c>
      <c r="EC20" s="409">
        <v>-6.6165308921356498</v>
      </c>
      <c r="ED20" s="409">
        <v>0</v>
      </c>
      <c r="EE20" s="409">
        <v>0</v>
      </c>
      <c r="EF20" s="409">
        <v>0</v>
      </c>
      <c r="EG20" s="409">
        <v>0</v>
      </c>
      <c r="EH20" s="409">
        <v>0</v>
      </c>
      <c r="EI20" s="409">
        <v>0</v>
      </c>
      <c r="EJ20" s="409">
        <v>0</v>
      </c>
      <c r="EK20" s="409">
        <v>0</v>
      </c>
      <c r="EL20" s="409">
        <v>0</v>
      </c>
      <c r="EM20" s="409">
        <v>0</v>
      </c>
      <c r="EN20" s="409">
        <v>0</v>
      </c>
      <c r="EO20" s="409">
        <v>0</v>
      </c>
      <c r="EP20" s="409">
        <v>0</v>
      </c>
      <c r="EQ20" s="409">
        <v>0</v>
      </c>
      <c r="ER20" s="409">
        <v>0</v>
      </c>
      <c r="ES20" s="409">
        <v>0</v>
      </c>
      <c r="ET20" s="409">
        <v>0</v>
      </c>
      <c r="EU20" s="409">
        <v>0</v>
      </c>
      <c r="EV20" s="409">
        <v>254</v>
      </c>
      <c r="EW20" s="409">
        <v>0</v>
      </c>
      <c r="EX20" s="409">
        <v>0</v>
      </c>
      <c r="EY20" s="409">
        <v>0</v>
      </c>
      <c r="EZ20" s="409"/>
      <c r="FA20" s="409">
        <v>0</v>
      </c>
      <c r="FB20" s="409"/>
      <c r="FC20" s="409"/>
      <c r="FD20" s="409"/>
      <c r="FE20" s="409"/>
      <c r="FF20" s="409">
        <v>0</v>
      </c>
      <c r="FG20" s="409">
        <v>0</v>
      </c>
      <c r="FH20" s="409">
        <v>0</v>
      </c>
      <c r="FI20" s="409">
        <v>0</v>
      </c>
    </row>
    <row r="21" spans="1:165" customFormat="1">
      <c r="A21" s="409">
        <v>19</v>
      </c>
      <c r="B21" s="409" t="s">
        <v>1035</v>
      </c>
      <c r="C21" s="409" t="s">
        <v>2252</v>
      </c>
      <c r="D21" s="409" t="s">
        <v>2254</v>
      </c>
      <c r="E21" s="409" t="s">
        <v>973</v>
      </c>
      <c r="F21" s="409" t="s">
        <v>1323</v>
      </c>
      <c r="G21" s="409" t="s">
        <v>1323</v>
      </c>
      <c r="H21" s="409" t="s">
        <v>1323</v>
      </c>
      <c r="I21" s="409" t="s">
        <v>2237</v>
      </c>
      <c r="J21" s="409" t="s">
        <v>2245</v>
      </c>
      <c r="K21" s="835">
        <v>44317</v>
      </c>
      <c r="L21" s="409">
        <v>0</v>
      </c>
      <c r="M21" s="409">
        <v>0</v>
      </c>
      <c r="N21" s="409">
        <v>0.35799999999999998</v>
      </c>
      <c r="O21" s="409">
        <v>0.35799999999999998</v>
      </c>
      <c r="P21" s="409">
        <v>0.35799999999999998</v>
      </c>
      <c r="Q21" s="409">
        <v>0.35799999999999998</v>
      </c>
      <c r="R21" s="409"/>
      <c r="S21" s="409">
        <v>308.83999999999997</v>
      </c>
      <c r="T21" s="409">
        <v>214.18</v>
      </c>
      <c r="U21" s="409"/>
      <c r="V21" s="409">
        <v>187.24115999999998</v>
      </c>
      <c r="W21" s="409">
        <v>187.24115999999998</v>
      </c>
      <c r="X21" s="409">
        <v>175.38061999999996</v>
      </c>
      <c r="Y21" s="409">
        <v>0</v>
      </c>
      <c r="Z21" s="409">
        <v>7.8392907406358558</v>
      </c>
      <c r="AA21" s="409">
        <v>0</v>
      </c>
      <c r="AB21" s="409">
        <v>0</v>
      </c>
      <c r="AC21" s="409">
        <v>0</v>
      </c>
      <c r="AD21" s="409">
        <v>19.689716581752357</v>
      </c>
      <c r="AE21" s="409">
        <v>68.89110784715713</v>
      </c>
      <c r="AF21" s="409">
        <v>76.676717602188305</v>
      </c>
      <c r="AG21" s="409">
        <v>0</v>
      </c>
      <c r="AH21" s="409">
        <v>0</v>
      </c>
      <c r="AI21" s="409">
        <v>0</v>
      </c>
      <c r="AJ21" s="409">
        <v>0</v>
      </c>
      <c r="AK21" s="409">
        <v>0</v>
      </c>
      <c r="AL21" s="409">
        <v>3.2005199736381083</v>
      </c>
      <c r="AM21" s="409"/>
      <c r="AN21" s="409">
        <v>0.54088317220632576</v>
      </c>
      <c r="AO21" s="409">
        <v>0</v>
      </c>
      <c r="AP21" s="409">
        <v>0</v>
      </c>
      <c r="AQ21" s="409">
        <v>0</v>
      </c>
      <c r="AR21" s="409">
        <v>0</v>
      </c>
      <c r="AS21" s="409">
        <v>0</v>
      </c>
      <c r="AT21" s="409">
        <v>0</v>
      </c>
      <c r="AU21" s="409">
        <v>0</v>
      </c>
      <c r="AV21" s="409">
        <v>0</v>
      </c>
      <c r="AW21" s="409">
        <v>0</v>
      </c>
      <c r="AX21" s="409">
        <v>0</v>
      </c>
      <c r="AY21" s="409">
        <v>0</v>
      </c>
      <c r="AZ21" s="409">
        <v>0</v>
      </c>
      <c r="BA21" s="409"/>
      <c r="BB21" s="409">
        <v>0</v>
      </c>
      <c r="BC21" s="409">
        <v>0</v>
      </c>
      <c r="BD21" s="409">
        <v>0</v>
      </c>
      <c r="BE21" s="409">
        <v>0</v>
      </c>
      <c r="BF21" s="409">
        <v>0</v>
      </c>
      <c r="BG21" s="409">
        <v>10.402409514690524</v>
      </c>
      <c r="BH21" s="409">
        <v>0</v>
      </c>
      <c r="BI21" s="409">
        <v>0</v>
      </c>
      <c r="BJ21" s="409">
        <v>0</v>
      </c>
      <c r="BK21" s="409">
        <v>0</v>
      </c>
      <c r="BL21" s="409">
        <v>0</v>
      </c>
      <c r="BM21" s="409"/>
      <c r="BN21" s="409"/>
      <c r="BO21" s="409"/>
      <c r="BP21" s="409"/>
      <c r="BQ21" s="409"/>
      <c r="BR21" s="409"/>
      <c r="BS21" s="409"/>
      <c r="BT21" s="409"/>
      <c r="BU21" s="409"/>
      <c r="BV21" s="409">
        <v>87.079127116878823</v>
      </c>
      <c r="BW21" s="409"/>
      <c r="BX21" s="409"/>
      <c r="BY21" s="409"/>
      <c r="BZ21" s="409"/>
      <c r="CA21" s="409"/>
      <c r="CB21" s="409"/>
      <c r="CC21" s="409"/>
      <c r="CD21" s="409"/>
      <c r="CE21" s="409"/>
      <c r="CF21" s="409"/>
      <c r="CG21" s="409"/>
      <c r="CH21" s="409"/>
      <c r="CI21" s="409">
        <v>176.3604</v>
      </c>
      <c r="CJ21" s="409">
        <v>-10.910759999999982</v>
      </c>
      <c r="CK21" s="409"/>
      <c r="CL21" s="409"/>
      <c r="CM21" s="409"/>
      <c r="CN21" s="409"/>
      <c r="CO21" s="409">
        <v>-14.527639999999995</v>
      </c>
      <c r="CP21" s="409">
        <v>2.667099999999996</v>
      </c>
      <c r="CQ21" s="409">
        <v>31</v>
      </c>
      <c r="CR21" s="409">
        <v>3.9304692210653087</v>
      </c>
      <c r="CS21" s="409">
        <v>0</v>
      </c>
      <c r="CT21" s="409">
        <v>0</v>
      </c>
      <c r="CU21" s="409">
        <v>0</v>
      </c>
      <c r="CV21" s="409">
        <v>0</v>
      </c>
      <c r="CW21" s="409">
        <v>0</v>
      </c>
      <c r="CX21" s="409">
        <v>0</v>
      </c>
      <c r="CY21" s="409">
        <v>0</v>
      </c>
      <c r="CZ21" s="409">
        <v>0.73817964758491783</v>
      </c>
      <c r="DA21" s="409">
        <v>0</v>
      </c>
      <c r="DB21" s="409">
        <v>0</v>
      </c>
      <c r="DC21" s="409">
        <v>3.5125532834528741</v>
      </c>
      <c r="DD21" s="409">
        <v>0</v>
      </c>
      <c r="DE21" s="409">
        <v>0</v>
      </c>
      <c r="DF21" s="409">
        <v>0</v>
      </c>
      <c r="DG21" s="409">
        <v>0.47653340987050363</v>
      </c>
      <c r="DH21" s="409">
        <v>0</v>
      </c>
      <c r="DI21" s="409">
        <v>-5.717101231603916E-2</v>
      </c>
      <c r="DJ21" s="409"/>
      <c r="DK21" s="409">
        <v>0</v>
      </c>
      <c r="DL21" s="409">
        <v>0</v>
      </c>
      <c r="DM21" s="409">
        <v>0</v>
      </c>
      <c r="DN21" s="409">
        <v>0</v>
      </c>
      <c r="DO21" s="409">
        <v>-1.7951563602082388E-2</v>
      </c>
      <c r="DP21" s="409">
        <v>-3.1859828539629986E-2</v>
      </c>
      <c r="DQ21" s="409">
        <v>0</v>
      </c>
      <c r="DR21" s="409">
        <v>-0.68981471538523276</v>
      </c>
      <c r="DS21" s="409"/>
      <c r="DT21" s="409"/>
      <c r="DU21" s="409"/>
      <c r="DV21" s="409">
        <v>68.89110784715713</v>
      </c>
      <c r="DW21" s="409">
        <v>0</v>
      </c>
      <c r="DX21" s="409">
        <v>0</v>
      </c>
      <c r="DY21" s="409">
        <v>-14.527639999999991</v>
      </c>
      <c r="DZ21" s="409">
        <v>2.6670999999999907</v>
      </c>
      <c r="EA21" s="409">
        <v>0</v>
      </c>
      <c r="EB21" s="409">
        <v>0</v>
      </c>
      <c r="EC21" s="409">
        <v>-15.791461854416681</v>
      </c>
      <c r="ED21" s="409">
        <v>0</v>
      </c>
      <c r="EE21" s="409">
        <v>0</v>
      </c>
      <c r="EF21" s="409">
        <v>0</v>
      </c>
      <c r="EG21" s="409">
        <v>0</v>
      </c>
      <c r="EH21" s="409">
        <v>0</v>
      </c>
      <c r="EI21" s="409">
        <v>0</v>
      </c>
      <c r="EJ21" s="409">
        <v>0</v>
      </c>
      <c r="EK21" s="409">
        <v>0</v>
      </c>
      <c r="EL21" s="409">
        <v>0</v>
      </c>
      <c r="EM21" s="409">
        <v>0</v>
      </c>
      <c r="EN21" s="409">
        <v>0</v>
      </c>
      <c r="EO21" s="409">
        <v>0</v>
      </c>
      <c r="EP21" s="409">
        <v>0</v>
      </c>
      <c r="EQ21" s="409">
        <v>0</v>
      </c>
      <c r="ER21" s="409">
        <v>0</v>
      </c>
      <c r="ES21" s="409">
        <v>0</v>
      </c>
      <c r="ET21" s="409">
        <v>0</v>
      </c>
      <c r="EU21" s="409">
        <v>0</v>
      </c>
      <c r="EV21" s="409">
        <v>254</v>
      </c>
      <c r="EW21" s="409">
        <v>0</v>
      </c>
      <c r="EX21" s="409">
        <v>0</v>
      </c>
      <c r="EY21" s="409">
        <v>0</v>
      </c>
      <c r="EZ21" s="409"/>
      <c r="FA21" s="409">
        <v>0</v>
      </c>
      <c r="FB21" s="409"/>
      <c r="FC21" s="409"/>
      <c r="FD21" s="409"/>
      <c r="FE21" s="409"/>
      <c r="FF21" s="409">
        <v>0</v>
      </c>
      <c r="FG21" s="409">
        <v>0</v>
      </c>
      <c r="FH21" s="409">
        <v>0</v>
      </c>
      <c r="FI21" s="409">
        <v>0</v>
      </c>
    </row>
    <row r="22" spans="1:165" customFormat="1">
      <c r="A22" s="409">
        <v>20</v>
      </c>
      <c r="B22" s="409" t="s">
        <v>1035</v>
      </c>
      <c r="C22" s="409" t="s">
        <v>2252</v>
      </c>
      <c r="D22" s="409" t="s">
        <v>2254</v>
      </c>
      <c r="E22" s="409" t="s">
        <v>973</v>
      </c>
      <c r="F22" s="409" t="s">
        <v>1323</v>
      </c>
      <c r="G22" s="409" t="s">
        <v>1323</v>
      </c>
      <c r="H22" s="409" t="s">
        <v>1323</v>
      </c>
      <c r="I22" s="409" t="s">
        <v>1323</v>
      </c>
      <c r="J22" s="409" t="s">
        <v>2245</v>
      </c>
      <c r="K22" s="835">
        <v>44317</v>
      </c>
      <c r="L22" s="409">
        <v>0</v>
      </c>
      <c r="M22" s="409">
        <v>0</v>
      </c>
      <c r="N22" s="409">
        <v>0.33700000000000002</v>
      </c>
      <c r="O22" s="409">
        <v>0.33700000000000002</v>
      </c>
      <c r="P22" s="409">
        <v>0.33700000000000002</v>
      </c>
      <c r="Q22" s="409">
        <v>0.33700000000000002</v>
      </c>
      <c r="R22" s="409"/>
      <c r="S22" s="409">
        <v>597.01</v>
      </c>
      <c r="T22" s="409">
        <v>243.39</v>
      </c>
      <c r="U22" s="409"/>
      <c r="V22" s="409">
        <v>283.21480000000003</v>
      </c>
      <c r="W22" s="409">
        <v>283.21480000000003</v>
      </c>
      <c r="X22" s="409">
        <v>256.55136000000005</v>
      </c>
      <c r="Y22" s="409">
        <v>0</v>
      </c>
      <c r="Z22" s="409">
        <v>8.3857319057715927</v>
      </c>
      <c r="AA22" s="409">
        <v>0</v>
      </c>
      <c r="AB22" s="409">
        <v>0</v>
      </c>
      <c r="AC22" s="409">
        <v>0</v>
      </c>
      <c r="AD22" s="409">
        <v>39.492715110500583</v>
      </c>
      <c r="AE22" s="409">
        <v>138.18298284508111</v>
      </c>
      <c r="AF22" s="409">
        <v>82.021501498023952</v>
      </c>
      <c r="AG22" s="409">
        <v>0</v>
      </c>
      <c r="AH22" s="409">
        <v>0</v>
      </c>
      <c r="AI22" s="409">
        <v>0</v>
      </c>
      <c r="AJ22" s="409">
        <v>0</v>
      </c>
      <c r="AK22" s="409">
        <v>0</v>
      </c>
      <c r="AL22" s="409">
        <v>3.4236136081641808</v>
      </c>
      <c r="AM22" s="409"/>
      <c r="AN22" s="409">
        <v>0.57858566859297644</v>
      </c>
      <c r="AO22" s="409">
        <v>0</v>
      </c>
      <c r="AP22" s="409">
        <v>0</v>
      </c>
      <c r="AQ22" s="409">
        <v>0</v>
      </c>
      <c r="AR22" s="409">
        <v>0</v>
      </c>
      <c r="AS22" s="409">
        <v>0</v>
      </c>
      <c r="AT22" s="409">
        <v>0</v>
      </c>
      <c r="AU22" s="409">
        <v>0</v>
      </c>
      <c r="AV22" s="409">
        <v>0</v>
      </c>
      <c r="AW22" s="409">
        <v>0</v>
      </c>
      <c r="AX22" s="409">
        <v>0</v>
      </c>
      <c r="AY22" s="409">
        <v>0</v>
      </c>
      <c r="AZ22" s="409">
        <v>0</v>
      </c>
      <c r="BA22" s="409"/>
      <c r="BB22" s="409">
        <v>0</v>
      </c>
      <c r="BC22" s="409">
        <v>0</v>
      </c>
      <c r="BD22" s="409">
        <v>0</v>
      </c>
      <c r="BE22" s="409">
        <v>0</v>
      </c>
      <c r="BF22" s="409">
        <v>0</v>
      </c>
      <c r="BG22" s="409">
        <v>11.127513986956281</v>
      </c>
      <c r="BH22" s="409">
        <v>0</v>
      </c>
      <c r="BI22" s="409">
        <v>0.51</v>
      </c>
      <c r="BJ22" s="409">
        <v>2.35</v>
      </c>
      <c r="BK22" s="409">
        <v>0</v>
      </c>
      <c r="BL22" s="409">
        <v>5</v>
      </c>
      <c r="BM22" s="409"/>
      <c r="BN22" s="409"/>
      <c r="BO22" s="409"/>
      <c r="BP22" s="409"/>
      <c r="BQ22" s="409"/>
      <c r="BR22" s="409">
        <v>30.788319999999999</v>
      </c>
      <c r="BS22" s="409"/>
      <c r="BT22" s="409"/>
      <c r="BU22" s="409"/>
      <c r="BV22" s="409">
        <v>93.149015484980225</v>
      </c>
      <c r="BW22" s="409"/>
      <c r="BX22" s="409"/>
      <c r="BY22" s="409"/>
      <c r="BZ22" s="409"/>
      <c r="CA22" s="409"/>
      <c r="CB22" s="409"/>
      <c r="CC22" s="409"/>
      <c r="CD22" s="409"/>
      <c r="CE22" s="409"/>
      <c r="CF22" s="409"/>
      <c r="CG22" s="409"/>
      <c r="CH22" s="409"/>
      <c r="CI22" s="409">
        <v>227.77280000000002</v>
      </c>
      <c r="CJ22" s="409">
        <v>-21.485549999999989</v>
      </c>
      <c r="CK22" s="409"/>
      <c r="CL22" s="409"/>
      <c r="CM22" s="409"/>
      <c r="CN22" s="409"/>
      <c r="CO22" s="409">
        <v>-29.514459999999996</v>
      </c>
      <c r="CP22" s="409">
        <v>2.8510200000000028</v>
      </c>
      <c r="CQ22" s="409">
        <v>31</v>
      </c>
      <c r="CR22" s="409">
        <v>5.0124783546573042</v>
      </c>
      <c r="CS22" s="409">
        <v>0</v>
      </c>
      <c r="CT22" s="409">
        <v>0</v>
      </c>
      <c r="CU22" s="409">
        <v>0</v>
      </c>
      <c r="CV22" s="409">
        <v>0</v>
      </c>
      <c r="CW22" s="409">
        <v>0</v>
      </c>
      <c r="CX22" s="409">
        <v>0</v>
      </c>
      <c r="CY22" s="409">
        <v>0</v>
      </c>
      <c r="CZ22" s="409">
        <v>1.4806063053980481</v>
      </c>
      <c r="DA22" s="409">
        <v>0</v>
      </c>
      <c r="DB22" s="409">
        <v>0</v>
      </c>
      <c r="DC22" s="409">
        <v>3.7573973353341188</v>
      </c>
      <c r="DD22" s="409">
        <v>0</v>
      </c>
      <c r="DE22" s="409">
        <v>0</v>
      </c>
      <c r="DF22" s="409">
        <v>0</v>
      </c>
      <c r="DG22" s="409">
        <v>0.50975037813088697</v>
      </c>
      <c r="DH22" s="409">
        <v>0</v>
      </c>
      <c r="DI22" s="409">
        <v>-6.1156142554937176E-2</v>
      </c>
      <c r="DJ22" s="409"/>
      <c r="DK22" s="409">
        <v>0</v>
      </c>
      <c r="DL22" s="409">
        <v>0</v>
      </c>
      <c r="DM22" s="409">
        <v>0</v>
      </c>
      <c r="DN22" s="409">
        <v>0</v>
      </c>
      <c r="DO22" s="409">
        <v>-1.920288513810009E-2</v>
      </c>
      <c r="DP22" s="409">
        <v>-3.4080631722494314E-2</v>
      </c>
      <c r="DQ22" s="409">
        <v>0</v>
      </c>
      <c r="DR22" s="409">
        <v>-0.62083600479021017</v>
      </c>
      <c r="DS22" s="409"/>
      <c r="DT22" s="409"/>
      <c r="DU22" s="409"/>
      <c r="DV22" s="409">
        <v>138.18298284508111</v>
      </c>
      <c r="DW22" s="409">
        <v>0</v>
      </c>
      <c r="DX22" s="409">
        <v>0</v>
      </c>
      <c r="DY22" s="409">
        <v>-29.514459999999985</v>
      </c>
      <c r="DZ22" s="409">
        <v>2.8510200000000054</v>
      </c>
      <c r="EA22" s="409">
        <v>0</v>
      </c>
      <c r="EB22" s="409">
        <v>0</v>
      </c>
      <c r="EC22" s="409">
        <v>-31.674788963604314</v>
      </c>
      <c r="ED22" s="409">
        <v>0</v>
      </c>
      <c r="EE22" s="409">
        <v>0</v>
      </c>
      <c r="EF22" s="409">
        <v>0</v>
      </c>
      <c r="EG22" s="409">
        <v>0</v>
      </c>
      <c r="EH22" s="409">
        <v>0</v>
      </c>
      <c r="EI22" s="409">
        <v>0</v>
      </c>
      <c r="EJ22" s="409">
        <v>0</v>
      </c>
      <c r="EK22" s="409">
        <v>0</v>
      </c>
      <c r="EL22" s="409">
        <v>0</v>
      </c>
      <c r="EM22" s="409">
        <v>0</v>
      </c>
      <c r="EN22" s="409">
        <v>0</v>
      </c>
      <c r="EO22" s="409">
        <v>0</v>
      </c>
      <c r="EP22" s="409">
        <v>0</v>
      </c>
      <c r="EQ22" s="409">
        <v>0</v>
      </c>
      <c r="ER22" s="409">
        <v>0</v>
      </c>
      <c r="ES22" s="409">
        <v>0</v>
      </c>
      <c r="ET22" s="409">
        <v>0</v>
      </c>
      <c r="EU22" s="409">
        <v>0</v>
      </c>
      <c r="EV22" s="409">
        <v>254</v>
      </c>
      <c r="EW22" s="409">
        <v>0</v>
      </c>
      <c r="EX22" s="409">
        <v>0</v>
      </c>
      <c r="EY22" s="409">
        <v>0</v>
      </c>
      <c r="EZ22" s="409"/>
      <c r="FA22" s="409">
        <v>0</v>
      </c>
      <c r="FB22" s="409"/>
      <c r="FC22" s="409"/>
      <c r="FD22" s="409"/>
      <c r="FE22" s="409"/>
      <c r="FF22" s="409">
        <v>0</v>
      </c>
      <c r="FG22" s="409">
        <v>0</v>
      </c>
      <c r="FH22" s="409">
        <v>0</v>
      </c>
      <c r="FI22" s="409">
        <v>0</v>
      </c>
    </row>
    <row r="23" spans="1:165" customFormat="1">
      <c r="A23" s="409">
        <v>21</v>
      </c>
      <c r="B23" s="409" t="s">
        <v>1035</v>
      </c>
      <c r="C23" s="409" t="s">
        <v>2252</v>
      </c>
      <c r="D23" s="409" t="s">
        <v>2254</v>
      </c>
      <c r="E23" s="409" t="s">
        <v>973</v>
      </c>
      <c r="F23" s="409" t="s">
        <v>1323</v>
      </c>
      <c r="G23" s="409" t="s">
        <v>1323</v>
      </c>
      <c r="H23" s="409" t="s">
        <v>1323</v>
      </c>
      <c r="I23" s="409" t="s">
        <v>2253</v>
      </c>
      <c r="J23" s="409" t="s">
        <v>2245</v>
      </c>
      <c r="K23" s="835">
        <v>44317</v>
      </c>
      <c r="L23" s="409">
        <v>0</v>
      </c>
      <c r="M23" s="409">
        <v>0</v>
      </c>
      <c r="N23" s="409">
        <v>0.02</v>
      </c>
      <c r="O23" s="409">
        <v>0.02</v>
      </c>
      <c r="P23" s="409">
        <v>0.02</v>
      </c>
      <c r="Q23" s="409">
        <v>0.02</v>
      </c>
      <c r="R23" s="409"/>
      <c r="S23" s="409">
        <v>803.7</v>
      </c>
      <c r="T23" s="409">
        <v>214.18</v>
      </c>
      <c r="U23" s="409"/>
      <c r="V23" s="409">
        <v>20.357600000000001</v>
      </c>
      <c r="W23" s="409">
        <v>20.357600000000001</v>
      </c>
      <c r="X23" s="409">
        <v>18.027000000000001</v>
      </c>
      <c r="Y23" s="409">
        <v>0</v>
      </c>
      <c r="Z23" s="409">
        <v>0.437949203387478</v>
      </c>
      <c r="AA23" s="409">
        <v>0</v>
      </c>
      <c r="AB23" s="409">
        <v>0</v>
      </c>
      <c r="AC23" s="409">
        <v>0</v>
      </c>
      <c r="AD23" s="409">
        <v>3.29987312360984</v>
      </c>
      <c r="AE23" s="409">
        <v>11.545985827298701</v>
      </c>
      <c r="AF23" s="409">
        <v>4.2836155085021401</v>
      </c>
      <c r="AG23" s="409">
        <v>0</v>
      </c>
      <c r="AH23" s="409">
        <v>0</v>
      </c>
      <c r="AI23" s="409">
        <v>0</v>
      </c>
      <c r="AJ23" s="409">
        <v>0</v>
      </c>
      <c r="AK23" s="409">
        <v>0</v>
      </c>
      <c r="AL23" s="409">
        <v>0.17879999852726861</v>
      </c>
      <c r="AM23" s="409"/>
      <c r="AN23" s="409">
        <v>3.02169369947668E-2</v>
      </c>
      <c r="AO23" s="409">
        <v>0</v>
      </c>
      <c r="AP23" s="409">
        <v>0</v>
      </c>
      <c r="AQ23" s="409">
        <v>0</v>
      </c>
      <c r="AR23" s="409">
        <v>0</v>
      </c>
      <c r="AS23" s="409">
        <v>0</v>
      </c>
      <c r="AT23" s="409">
        <v>0</v>
      </c>
      <c r="AU23" s="409">
        <v>0</v>
      </c>
      <c r="AV23" s="409">
        <v>0</v>
      </c>
      <c r="AW23" s="409">
        <v>0</v>
      </c>
      <c r="AX23" s="409">
        <v>0</v>
      </c>
      <c r="AY23" s="409">
        <v>0</v>
      </c>
      <c r="AZ23" s="409">
        <v>0</v>
      </c>
      <c r="BA23" s="409"/>
      <c r="BB23" s="409">
        <v>0</v>
      </c>
      <c r="BC23" s="409">
        <v>0</v>
      </c>
      <c r="BD23" s="409">
        <v>0</v>
      </c>
      <c r="BE23" s="409">
        <v>0</v>
      </c>
      <c r="BF23" s="409">
        <v>0</v>
      </c>
      <c r="BG23" s="409">
        <v>0.581140196351426</v>
      </c>
      <c r="BH23" s="409">
        <v>0</v>
      </c>
      <c r="BI23" s="409">
        <v>0</v>
      </c>
      <c r="BJ23" s="409">
        <v>0</v>
      </c>
      <c r="BK23" s="409">
        <v>0</v>
      </c>
      <c r="BL23" s="409">
        <v>0</v>
      </c>
      <c r="BM23" s="409"/>
      <c r="BN23" s="409"/>
      <c r="BO23" s="409"/>
      <c r="BP23" s="409"/>
      <c r="BQ23" s="409"/>
      <c r="BR23" s="409"/>
      <c r="BS23" s="409"/>
      <c r="BT23" s="409"/>
      <c r="BU23" s="409"/>
      <c r="BV23" s="409">
        <v>4.8647557048535663</v>
      </c>
      <c r="BW23" s="409"/>
      <c r="BX23" s="409"/>
      <c r="BY23" s="409"/>
      <c r="BZ23" s="409"/>
      <c r="CA23" s="409"/>
      <c r="CB23" s="409"/>
      <c r="CC23" s="409"/>
      <c r="CD23" s="409"/>
      <c r="CE23" s="409"/>
      <c r="CF23" s="409"/>
      <c r="CG23" s="409"/>
      <c r="CH23" s="409"/>
      <c r="CI23" s="409">
        <v>18.027000000000001</v>
      </c>
      <c r="CJ23" s="409">
        <v>-2.3606000000000051</v>
      </c>
      <c r="CK23" s="409"/>
      <c r="CL23" s="409"/>
      <c r="CM23" s="409"/>
      <c r="CN23" s="409"/>
      <c r="CO23" s="409">
        <v>-2.4796000000000005</v>
      </c>
      <c r="CP23" s="409">
        <v>0.14899999999999977</v>
      </c>
      <c r="CQ23" s="409">
        <v>31</v>
      </c>
      <c r="CR23" s="409">
        <v>0.31602684473496012</v>
      </c>
      <c r="CS23" s="409">
        <v>0</v>
      </c>
      <c r="CT23" s="409">
        <v>0</v>
      </c>
      <c r="CU23" s="409">
        <v>0</v>
      </c>
      <c r="CV23" s="409">
        <v>0</v>
      </c>
      <c r="CW23" s="409">
        <v>0</v>
      </c>
      <c r="CX23" s="409">
        <v>0</v>
      </c>
      <c r="CY23" s="409">
        <v>0</v>
      </c>
      <c r="CZ23" s="409">
        <v>0.12371428351175995</v>
      </c>
      <c r="DA23" s="409">
        <v>0</v>
      </c>
      <c r="DB23" s="409">
        <v>0</v>
      </c>
      <c r="DC23" s="409">
        <v>0.19623202700854048</v>
      </c>
      <c r="DD23" s="409">
        <v>0</v>
      </c>
      <c r="DE23" s="409">
        <v>0</v>
      </c>
      <c r="DF23" s="409">
        <v>0</v>
      </c>
      <c r="DG23" s="409">
        <v>2.6621978205056074E-2</v>
      </c>
      <c r="DH23" s="409">
        <v>0</v>
      </c>
      <c r="DI23" s="409">
        <v>-3.1939113025720167E-3</v>
      </c>
      <c r="DJ23" s="409"/>
      <c r="DK23" s="409">
        <v>0</v>
      </c>
      <c r="DL23" s="409">
        <v>0</v>
      </c>
      <c r="DM23" s="409">
        <v>0</v>
      </c>
      <c r="DN23" s="409">
        <v>0</v>
      </c>
      <c r="DO23" s="409">
        <v>-1.0028806481610086E-3</v>
      </c>
      <c r="DP23" s="409">
        <v>-1.7798786893648E-3</v>
      </c>
      <c r="DQ23" s="409">
        <v>0</v>
      </c>
      <c r="DR23" s="409">
        <v>-2.4564773350298198E-2</v>
      </c>
      <c r="DS23" s="409"/>
      <c r="DT23" s="409"/>
      <c r="DU23" s="409"/>
      <c r="DV23" s="409">
        <v>11.545985827298701</v>
      </c>
      <c r="DW23" s="409">
        <v>0</v>
      </c>
      <c r="DX23" s="409">
        <v>0</v>
      </c>
      <c r="DY23" s="409">
        <v>-2.4796000000000014</v>
      </c>
      <c r="DZ23" s="409">
        <v>0.14900000000000002</v>
      </c>
      <c r="EA23" s="409">
        <v>0</v>
      </c>
      <c r="EB23" s="409">
        <v>0</v>
      </c>
      <c r="EC23" s="409">
        <v>-2.6466114490122408</v>
      </c>
      <c r="ED23" s="409">
        <v>0</v>
      </c>
      <c r="EE23" s="409">
        <v>0</v>
      </c>
      <c r="EF23" s="409">
        <v>0</v>
      </c>
      <c r="EG23" s="409">
        <v>0</v>
      </c>
      <c r="EH23" s="409">
        <v>0</v>
      </c>
      <c r="EI23" s="409">
        <v>0</v>
      </c>
      <c r="EJ23" s="409">
        <v>0</v>
      </c>
      <c r="EK23" s="409">
        <v>0</v>
      </c>
      <c r="EL23" s="409">
        <v>0</v>
      </c>
      <c r="EM23" s="409">
        <v>0</v>
      </c>
      <c r="EN23" s="409">
        <v>0</v>
      </c>
      <c r="EO23" s="409">
        <v>0</v>
      </c>
      <c r="EP23" s="409">
        <v>0</v>
      </c>
      <c r="EQ23" s="409">
        <v>0</v>
      </c>
      <c r="ER23" s="409">
        <v>0</v>
      </c>
      <c r="ES23" s="409">
        <v>0</v>
      </c>
      <c r="ET23" s="409">
        <v>0</v>
      </c>
      <c r="EU23" s="409">
        <v>0</v>
      </c>
      <c r="EV23" s="409">
        <v>254</v>
      </c>
      <c r="EW23" s="409">
        <v>0</v>
      </c>
      <c r="EX23" s="409">
        <v>0</v>
      </c>
      <c r="EY23" s="409">
        <v>0</v>
      </c>
      <c r="EZ23" s="409"/>
      <c r="FA23" s="409">
        <v>0</v>
      </c>
      <c r="FB23" s="409"/>
      <c r="FC23" s="409"/>
      <c r="FD23" s="409"/>
      <c r="FE23" s="409"/>
      <c r="FF23" s="409">
        <v>0</v>
      </c>
      <c r="FG23" s="409">
        <v>0</v>
      </c>
      <c r="FH23" s="409">
        <v>0</v>
      </c>
      <c r="FI23" s="409">
        <v>0</v>
      </c>
    </row>
    <row r="24" spans="1:165" customFormat="1">
      <c r="A24" s="409">
        <v>22</v>
      </c>
      <c r="B24" s="409" t="s">
        <v>1035</v>
      </c>
      <c r="C24" s="409" t="s">
        <v>2244</v>
      </c>
      <c r="D24" s="409" t="s">
        <v>1994</v>
      </c>
      <c r="E24" s="409" t="s">
        <v>2255</v>
      </c>
      <c r="F24" s="409" t="s">
        <v>1323</v>
      </c>
      <c r="G24" s="409" t="s">
        <v>1323</v>
      </c>
      <c r="H24" s="409" t="s">
        <v>1323</v>
      </c>
      <c r="I24" s="409" t="s">
        <v>1323</v>
      </c>
      <c r="J24" s="409" t="s">
        <v>2245</v>
      </c>
      <c r="K24" s="835">
        <v>44317</v>
      </c>
      <c r="L24" s="409">
        <v>0</v>
      </c>
      <c r="M24" s="409">
        <v>0</v>
      </c>
      <c r="N24" s="409">
        <v>15.272</v>
      </c>
      <c r="O24" s="409">
        <v>15.272</v>
      </c>
      <c r="P24" s="409">
        <v>15.272</v>
      </c>
      <c r="Q24" s="409">
        <v>15.272</v>
      </c>
      <c r="R24" s="409"/>
      <c r="S24" s="409">
        <v>597.01</v>
      </c>
      <c r="T24" s="409">
        <v>243.39</v>
      </c>
      <c r="U24" s="409"/>
      <c r="V24" s="409">
        <v>12834.5888</v>
      </c>
      <c r="W24" s="409">
        <v>12834.5888</v>
      </c>
      <c r="X24" s="409">
        <v>11626.26816</v>
      </c>
      <c r="Y24" s="409">
        <v>0</v>
      </c>
      <c r="Z24" s="409">
        <v>380.02046784849779</v>
      </c>
      <c r="AA24" s="409">
        <v>0</v>
      </c>
      <c r="AB24" s="409">
        <v>0</v>
      </c>
      <c r="AC24" s="409">
        <v>0</v>
      </c>
      <c r="AD24" s="409">
        <v>1789.711409992774</v>
      </c>
      <c r="AE24" s="409">
        <v>6262.1083501782759</v>
      </c>
      <c r="AF24" s="409">
        <v>3717.0100026048121</v>
      </c>
      <c r="AG24" s="409">
        <v>0</v>
      </c>
      <c r="AH24" s="409">
        <v>0</v>
      </c>
      <c r="AI24" s="409">
        <v>0</v>
      </c>
      <c r="AJ24" s="409">
        <v>0</v>
      </c>
      <c r="AK24" s="409">
        <v>0</v>
      </c>
      <c r="AL24" s="409">
        <v>155.14963508570733</v>
      </c>
      <c r="AM24" s="409"/>
      <c r="AN24" s="409">
        <v>26.220060328640759</v>
      </c>
      <c r="AO24" s="409">
        <v>0</v>
      </c>
      <c r="AP24" s="409">
        <v>0</v>
      </c>
      <c r="AQ24" s="409">
        <v>0</v>
      </c>
      <c r="AR24" s="409">
        <v>0</v>
      </c>
      <c r="AS24" s="409">
        <v>0</v>
      </c>
      <c r="AT24" s="409">
        <v>0</v>
      </c>
      <c r="AU24" s="409">
        <v>0</v>
      </c>
      <c r="AV24" s="409">
        <v>0</v>
      </c>
      <c r="AW24" s="409">
        <v>0</v>
      </c>
      <c r="AX24" s="409">
        <v>0</v>
      </c>
      <c r="AY24" s="409">
        <v>0</v>
      </c>
      <c r="AZ24" s="409">
        <v>0</v>
      </c>
      <c r="BA24" s="409"/>
      <c r="BB24" s="409">
        <v>0</v>
      </c>
      <c r="BC24" s="409">
        <v>0</v>
      </c>
      <c r="BD24" s="409">
        <v>0</v>
      </c>
      <c r="BE24" s="409">
        <v>0</v>
      </c>
      <c r="BF24" s="409">
        <v>0</v>
      </c>
      <c r="BG24" s="409">
        <v>504.27119765221454</v>
      </c>
      <c r="BH24" s="409">
        <v>0</v>
      </c>
      <c r="BI24" s="409">
        <v>13.36</v>
      </c>
      <c r="BJ24" s="409">
        <v>61.62</v>
      </c>
      <c r="BK24" s="409">
        <v>998.79</v>
      </c>
      <c r="BL24" s="409">
        <v>30</v>
      </c>
      <c r="BM24" s="409"/>
      <c r="BN24" s="409"/>
      <c r="BO24" s="409"/>
      <c r="BP24" s="409"/>
      <c r="BQ24" s="409"/>
      <c r="BR24" s="409"/>
      <c r="BS24" s="409"/>
      <c r="BT24" s="409"/>
      <c r="BU24" s="409"/>
      <c r="BV24" s="409">
        <v>4221.2812002570263</v>
      </c>
      <c r="BW24" s="409"/>
      <c r="BX24" s="409"/>
      <c r="BY24" s="409"/>
      <c r="BZ24" s="409"/>
      <c r="CA24" s="409"/>
      <c r="CB24" s="409"/>
      <c r="CC24" s="409"/>
      <c r="CD24" s="409"/>
      <c r="CE24" s="409"/>
      <c r="CF24" s="409"/>
      <c r="CG24" s="409"/>
      <c r="CH24" s="409"/>
      <c r="CI24" s="409">
        <v>11624.7456</v>
      </c>
      <c r="CJ24" s="409">
        <v>-1209.8732</v>
      </c>
      <c r="CK24" s="409"/>
      <c r="CL24" s="409"/>
      <c r="CM24" s="409"/>
      <c r="CN24" s="409"/>
      <c r="CO24" s="409">
        <v>-1337.5217599999999</v>
      </c>
      <c r="CP24" s="409">
        <v>129.20112000000012</v>
      </c>
      <c r="CQ24" s="409">
        <v>31</v>
      </c>
      <c r="CR24" s="409">
        <v>227.15302502173927</v>
      </c>
      <c r="CS24" s="409">
        <v>0</v>
      </c>
      <c r="CT24" s="409">
        <v>0</v>
      </c>
      <c r="CU24" s="409">
        <v>0</v>
      </c>
      <c r="CV24" s="409">
        <v>0</v>
      </c>
      <c r="CW24" s="409">
        <v>0</v>
      </c>
      <c r="CX24" s="409">
        <v>0</v>
      </c>
      <c r="CY24" s="409">
        <v>0</v>
      </c>
      <c r="CZ24" s="409">
        <v>67.097387228602656</v>
      </c>
      <c r="DA24" s="409">
        <v>0</v>
      </c>
      <c r="DB24" s="409">
        <v>0</v>
      </c>
      <c r="DC24" s="409">
        <v>170.27588161787116</v>
      </c>
      <c r="DD24" s="409">
        <v>0</v>
      </c>
      <c r="DE24" s="409">
        <v>0</v>
      </c>
      <c r="DF24" s="409">
        <v>0</v>
      </c>
      <c r="DG24" s="409">
        <v>23.100616542477553</v>
      </c>
      <c r="DH24" s="409">
        <v>0</v>
      </c>
      <c r="DI24" s="409">
        <v>-2.77144394391388</v>
      </c>
      <c r="DJ24" s="409"/>
      <c r="DK24" s="409">
        <v>0</v>
      </c>
      <c r="DL24" s="409">
        <v>0</v>
      </c>
      <c r="DM24" s="409">
        <v>0</v>
      </c>
      <c r="DN24" s="409">
        <v>0</v>
      </c>
      <c r="DO24" s="409">
        <v>-0.87022688970048989</v>
      </c>
      <c r="DP24" s="409">
        <v>-1.5444492809078127</v>
      </c>
      <c r="DQ24" s="409">
        <v>0</v>
      </c>
      <c r="DR24" s="409">
        <v>-28.134740252688694</v>
      </c>
      <c r="DS24" s="409"/>
      <c r="DT24" s="409"/>
      <c r="DU24" s="409"/>
      <c r="DV24" s="409">
        <v>6262.1083501782759</v>
      </c>
      <c r="DW24" s="409">
        <v>0</v>
      </c>
      <c r="DX24" s="409">
        <v>0</v>
      </c>
      <c r="DY24" s="409">
        <v>-1337.5217599999996</v>
      </c>
      <c r="DZ24" s="409">
        <v>129.20112000000017</v>
      </c>
      <c r="EA24" s="409">
        <v>0</v>
      </c>
      <c r="EB24" s="409">
        <v>0</v>
      </c>
      <c r="EC24" s="409">
        <v>-1435.422483834318</v>
      </c>
      <c r="ED24" s="409">
        <v>0</v>
      </c>
      <c r="EE24" s="409">
        <v>0</v>
      </c>
      <c r="EF24" s="409">
        <v>0</v>
      </c>
      <c r="EG24" s="409">
        <v>0</v>
      </c>
      <c r="EH24" s="409">
        <v>0</v>
      </c>
      <c r="EI24" s="409">
        <v>0</v>
      </c>
      <c r="EJ24" s="409">
        <v>0</v>
      </c>
      <c r="EK24" s="409">
        <v>0</v>
      </c>
      <c r="EL24" s="409">
        <v>0</v>
      </c>
      <c r="EM24" s="409">
        <v>0</v>
      </c>
      <c r="EN24" s="409">
        <v>0</v>
      </c>
      <c r="EO24" s="409">
        <v>0</v>
      </c>
      <c r="EP24" s="409">
        <v>0</v>
      </c>
      <c r="EQ24" s="409">
        <v>0</v>
      </c>
      <c r="ER24" s="409">
        <v>0</v>
      </c>
      <c r="ES24" s="409">
        <v>0</v>
      </c>
      <c r="ET24" s="409">
        <v>0</v>
      </c>
      <c r="EU24" s="409">
        <v>0</v>
      </c>
      <c r="EV24" s="409">
        <v>254</v>
      </c>
      <c r="EW24" s="409">
        <v>0</v>
      </c>
      <c r="EX24" s="409">
        <v>0</v>
      </c>
      <c r="EY24" s="409">
        <v>0</v>
      </c>
      <c r="EZ24" s="409"/>
      <c r="FA24" s="409">
        <v>0</v>
      </c>
      <c r="FB24" s="409"/>
      <c r="FC24" s="409"/>
      <c r="FD24" s="409"/>
      <c r="FE24" s="409"/>
      <c r="FF24" s="409">
        <v>0</v>
      </c>
      <c r="FG24" s="409">
        <v>0</v>
      </c>
      <c r="FH24" s="409">
        <v>0</v>
      </c>
      <c r="FI24" s="409">
        <v>0</v>
      </c>
    </row>
    <row r="25" spans="1:165" customFormat="1">
      <c r="A25" s="409">
        <v>23</v>
      </c>
      <c r="B25" s="409" t="s">
        <v>1035</v>
      </c>
      <c r="C25" s="409" t="s">
        <v>2244</v>
      </c>
      <c r="D25" s="409" t="s">
        <v>2256</v>
      </c>
      <c r="E25" s="409" t="s">
        <v>2257</v>
      </c>
      <c r="F25" s="409" t="s">
        <v>2258</v>
      </c>
      <c r="G25" s="409" t="s">
        <v>1323</v>
      </c>
      <c r="H25" s="409" t="s">
        <v>1323</v>
      </c>
      <c r="I25" s="409" t="s">
        <v>1323</v>
      </c>
      <c r="J25" s="409" t="s">
        <v>2245</v>
      </c>
      <c r="K25" s="835">
        <v>44317</v>
      </c>
      <c r="L25" s="409">
        <v>0</v>
      </c>
      <c r="M25" s="409">
        <v>0</v>
      </c>
      <c r="N25" s="409">
        <v>132.27799999999999</v>
      </c>
      <c r="O25" s="409">
        <v>132.27799999999999</v>
      </c>
      <c r="P25" s="409">
        <v>132.27799999999999</v>
      </c>
      <c r="Q25" s="409">
        <v>132.27799999999999</v>
      </c>
      <c r="R25" s="409"/>
      <c r="S25" s="409">
        <v>328.35</v>
      </c>
      <c r="T25" s="409">
        <v>133.86000000000001</v>
      </c>
      <c r="U25" s="409"/>
      <c r="V25" s="409">
        <v>61140.214380000005</v>
      </c>
      <c r="W25" s="409">
        <v>61140.214380000005</v>
      </c>
      <c r="X25" s="409">
        <v>55384.798600000002</v>
      </c>
      <c r="Y25" s="409">
        <v>0</v>
      </c>
      <c r="Z25" s="409">
        <v>1810.345147677777</v>
      </c>
      <c r="AA25" s="409">
        <v>0</v>
      </c>
      <c r="AB25" s="409">
        <v>0</v>
      </c>
      <c r="AC25" s="409">
        <v>0</v>
      </c>
      <c r="AD25" s="409">
        <v>8525.8443714027817</v>
      </c>
      <c r="AE25" s="409">
        <v>29831.491788219344</v>
      </c>
      <c r="AF25" s="409">
        <v>17707.127882301455</v>
      </c>
      <c r="AG25" s="409">
        <v>0</v>
      </c>
      <c r="AH25" s="409">
        <v>0</v>
      </c>
      <c r="AI25" s="409">
        <v>0</v>
      </c>
      <c r="AJ25" s="409">
        <v>0</v>
      </c>
      <c r="AK25" s="409">
        <v>0</v>
      </c>
      <c r="AL25" s="409">
        <v>739.10331891218937</v>
      </c>
      <c r="AM25" s="409"/>
      <c r="AN25" s="409">
        <v>124.90737474355501</v>
      </c>
      <c r="AO25" s="409">
        <v>0</v>
      </c>
      <c r="AP25" s="409">
        <v>0</v>
      </c>
      <c r="AQ25" s="409">
        <v>0</v>
      </c>
      <c r="AR25" s="409">
        <v>0</v>
      </c>
      <c r="AS25" s="409">
        <v>0</v>
      </c>
      <c r="AT25" s="409">
        <v>0</v>
      </c>
      <c r="AU25" s="409">
        <v>0</v>
      </c>
      <c r="AV25" s="409">
        <v>0</v>
      </c>
      <c r="AW25" s="409">
        <v>0</v>
      </c>
      <c r="AX25" s="409">
        <v>0</v>
      </c>
      <c r="AY25" s="409">
        <v>0</v>
      </c>
      <c r="AZ25" s="409">
        <v>0</v>
      </c>
      <c r="BA25" s="409"/>
      <c r="BB25" s="409">
        <v>0</v>
      </c>
      <c r="BC25" s="409">
        <v>0</v>
      </c>
      <c r="BD25" s="409">
        <v>0</v>
      </c>
      <c r="BE25" s="409">
        <v>0</v>
      </c>
      <c r="BF25" s="409">
        <v>0</v>
      </c>
      <c r="BG25" s="409">
        <v>2402.2519654054399</v>
      </c>
      <c r="BH25" s="409">
        <v>0</v>
      </c>
      <c r="BI25" s="409">
        <v>0</v>
      </c>
      <c r="BJ25" s="409">
        <v>0</v>
      </c>
      <c r="BK25" s="409">
        <v>0</v>
      </c>
      <c r="BL25" s="409">
        <v>5</v>
      </c>
      <c r="BM25" s="409"/>
      <c r="BN25" s="409"/>
      <c r="BO25" s="409"/>
      <c r="BP25" s="409"/>
      <c r="BQ25" s="409"/>
      <c r="BR25" s="409"/>
      <c r="BS25" s="409"/>
      <c r="BT25" s="409"/>
      <c r="BU25" s="409"/>
      <c r="BV25" s="409">
        <v>20109.379847706896</v>
      </c>
      <c r="BW25" s="409"/>
      <c r="BX25" s="409"/>
      <c r="BY25" s="409"/>
      <c r="BZ25" s="409"/>
      <c r="CA25" s="409"/>
      <c r="CB25" s="409"/>
      <c r="CC25" s="409"/>
      <c r="CD25" s="409"/>
      <c r="CE25" s="409"/>
      <c r="CF25" s="409"/>
      <c r="CG25" s="409"/>
      <c r="CH25" s="409"/>
      <c r="CI25" s="409">
        <v>55385.636000000006</v>
      </c>
      <c r="CJ25" s="409">
        <v>-5754.6083800000051</v>
      </c>
      <c r="CK25" s="409"/>
      <c r="CL25" s="409"/>
      <c r="CM25" s="409"/>
      <c r="CN25" s="409"/>
      <c r="CO25" s="409">
        <v>-6371.8312600000017</v>
      </c>
      <c r="CP25" s="409">
        <v>616.41547999999955</v>
      </c>
      <c r="CQ25" s="409">
        <v>31</v>
      </c>
      <c r="CR25" s="409">
        <v>1082.1137581262119</v>
      </c>
      <c r="CS25" s="409">
        <v>0</v>
      </c>
      <c r="CT25" s="409">
        <v>0</v>
      </c>
      <c r="CU25" s="409">
        <v>0</v>
      </c>
      <c r="CV25" s="409">
        <v>0</v>
      </c>
      <c r="CW25" s="409">
        <v>0</v>
      </c>
      <c r="CX25" s="409">
        <v>0</v>
      </c>
      <c r="CY25" s="409">
        <v>0</v>
      </c>
      <c r="CZ25" s="409">
        <v>319.63917648660754</v>
      </c>
      <c r="DA25" s="409">
        <v>0</v>
      </c>
      <c r="DB25" s="409">
        <v>0</v>
      </c>
      <c r="DC25" s="409">
        <v>811.16187714488478</v>
      </c>
      <c r="DD25" s="409">
        <v>0</v>
      </c>
      <c r="DE25" s="409">
        <v>0</v>
      </c>
      <c r="DF25" s="409">
        <v>0</v>
      </c>
      <c r="DG25" s="409">
        <v>110.04693853149911</v>
      </c>
      <c r="DH25" s="409">
        <v>0</v>
      </c>
      <c r="DI25" s="409">
        <v>-13.202631227554093</v>
      </c>
      <c r="DJ25" s="409"/>
      <c r="DK25" s="409">
        <v>0</v>
      </c>
      <c r="DL25" s="409">
        <v>0</v>
      </c>
      <c r="DM25" s="409">
        <v>0</v>
      </c>
      <c r="DN25" s="409">
        <v>0</v>
      </c>
      <c r="DO25" s="409">
        <v>-4.1455951992960536</v>
      </c>
      <c r="DP25" s="409">
        <v>-7.3574622897433954</v>
      </c>
      <c r="DQ25" s="409">
        <v>0</v>
      </c>
      <c r="DR25" s="409">
        <v>-134.02854532018375</v>
      </c>
      <c r="DS25" s="409"/>
      <c r="DT25" s="409"/>
      <c r="DU25" s="409"/>
      <c r="DV25" s="409">
        <v>29831.491788219344</v>
      </c>
      <c r="DW25" s="409">
        <v>0</v>
      </c>
      <c r="DX25" s="409">
        <v>0</v>
      </c>
      <c r="DY25" s="409">
        <v>-6371.831259999999</v>
      </c>
      <c r="DZ25" s="409">
        <v>616.41547999999966</v>
      </c>
      <c r="EA25" s="409">
        <v>0</v>
      </c>
      <c r="EB25" s="409">
        <v>0</v>
      </c>
      <c r="EC25" s="409">
        <v>-6838.0793886950451</v>
      </c>
      <c r="ED25" s="409">
        <v>0</v>
      </c>
      <c r="EE25" s="409">
        <v>0</v>
      </c>
      <c r="EF25" s="409">
        <v>0</v>
      </c>
      <c r="EG25" s="409">
        <v>0</v>
      </c>
      <c r="EH25" s="409">
        <v>0</v>
      </c>
      <c r="EI25" s="409">
        <v>0</v>
      </c>
      <c r="EJ25" s="409">
        <v>0</v>
      </c>
      <c r="EK25" s="409">
        <v>0</v>
      </c>
      <c r="EL25" s="409">
        <v>0</v>
      </c>
      <c r="EM25" s="409">
        <v>0</v>
      </c>
      <c r="EN25" s="409">
        <v>0</v>
      </c>
      <c r="EO25" s="409">
        <v>0</v>
      </c>
      <c r="EP25" s="409">
        <v>0</v>
      </c>
      <c r="EQ25" s="409">
        <v>0</v>
      </c>
      <c r="ER25" s="409">
        <v>0</v>
      </c>
      <c r="ES25" s="409">
        <v>0</v>
      </c>
      <c r="ET25" s="409">
        <v>0</v>
      </c>
      <c r="EU25" s="409">
        <v>0</v>
      </c>
      <c r="EV25" s="409">
        <v>254</v>
      </c>
      <c r="EW25" s="409">
        <v>0</v>
      </c>
      <c r="EX25" s="409">
        <v>0</v>
      </c>
      <c r="EY25" s="409">
        <v>0</v>
      </c>
      <c r="EZ25" s="409"/>
      <c r="FA25" s="409">
        <v>0</v>
      </c>
      <c r="FB25" s="409"/>
      <c r="FC25" s="409"/>
      <c r="FD25" s="409"/>
      <c r="FE25" s="409"/>
      <c r="FF25" s="409">
        <v>0</v>
      </c>
      <c r="FG25" s="409">
        <v>0</v>
      </c>
      <c r="FH25" s="409">
        <v>0</v>
      </c>
      <c r="FI25" s="409">
        <v>0</v>
      </c>
    </row>
    <row r="26" spans="1:165" customFormat="1">
      <c r="A26" s="409">
        <v>24</v>
      </c>
      <c r="B26" s="409" t="s">
        <v>1035</v>
      </c>
      <c r="C26" s="409" t="s">
        <v>2244</v>
      </c>
      <c r="D26" s="409" t="s">
        <v>1994</v>
      </c>
      <c r="E26" s="409" t="s">
        <v>1000</v>
      </c>
      <c r="F26" s="409" t="s">
        <v>2259</v>
      </c>
      <c r="G26" s="409" t="s">
        <v>1323</v>
      </c>
      <c r="H26" s="409" t="s">
        <v>1323</v>
      </c>
      <c r="I26" s="409" t="s">
        <v>1323</v>
      </c>
      <c r="J26" s="409" t="s">
        <v>2245</v>
      </c>
      <c r="K26" s="835">
        <v>44317</v>
      </c>
      <c r="L26" s="409">
        <v>0</v>
      </c>
      <c r="M26" s="409">
        <v>0</v>
      </c>
      <c r="N26" s="409">
        <v>60.37</v>
      </c>
      <c r="O26" s="409">
        <v>56.747799999999991</v>
      </c>
      <c r="P26" s="409">
        <v>60.37</v>
      </c>
      <c r="Q26" s="409">
        <v>56.747799999999991</v>
      </c>
      <c r="R26" s="409"/>
      <c r="S26" s="409">
        <v>597.01</v>
      </c>
      <c r="T26" s="409">
        <v>243.39</v>
      </c>
      <c r="U26" s="409"/>
      <c r="V26" s="409">
        <v>50734.947999999997</v>
      </c>
      <c r="W26" s="409">
        <v>50734.947999999997</v>
      </c>
      <c r="X26" s="409">
        <v>45958.473599999998</v>
      </c>
      <c r="Y26" s="409">
        <v>0</v>
      </c>
      <c r="Z26" s="409">
        <v>1502.2155345739791</v>
      </c>
      <c r="AA26" s="409">
        <v>0</v>
      </c>
      <c r="AB26" s="409">
        <v>0</v>
      </c>
      <c r="AC26" s="409">
        <v>0</v>
      </c>
      <c r="AD26" s="409">
        <v>7074.703890863263</v>
      </c>
      <c r="AE26" s="409">
        <v>24754.025739933371</v>
      </c>
      <c r="AF26" s="409">
        <v>14693.287968651945</v>
      </c>
      <c r="AG26" s="409">
        <v>0</v>
      </c>
      <c r="AH26" s="409">
        <v>0</v>
      </c>
      <c r="AI26" s="409">
        <v>0</v>
      </c>
      <c r="AJ26" s="409">
        <v>0</v>
      </c>
      <c r="AK26" s="409">
        <v>0</v>
      </c>
      <c r="AL26" s="409">
        <v>613.30431313018278</v>
      </c>
      <c r="AM26" s="409"/>
      <c r="AN26" s="409">
        <v>103.64752763489015</v>
      </c>
      <c r="AO26" s="409">
        <v>0</v>
      </c>
      <c r="AP26" s="409">
        <v>0</v>
      </c>
      <c r="AQ26" s="409">
        <v>0</v>
      </c>
      <c r="AR26" s="409">
        <v>0</v>
      </c>
      <c r="AS26" s="409">
        <v>0</v>
      </c>
      <c r="AT26" s="409">
        <v>0</v>
      </c>
      <c r="AU26" s="409">
        <v>0</v>
      </c>
      <c r="AV26" s="409">
        <v>0</v>
      </c>
      <c r="AW26" s="409">
        <v>0</v>
      </c>
      <c r="AX26" s="409">
        <v>0</v>
      </c>
      <c r="AY26" s="409">
        <v>0</v>
      </c>
      <c r="AZ26" s="409">
        <v>0</v>
      </c>
      <c r="BA26" s="409"/>
      <c r="BB26" s="409">
        <v>0</v>
      </c>
      <c r="BC26" s="409">
        <v>0</v>
      </c>
      <c r="BD26" s="409">
        <v>0</v>
      </c>
      <c r="BE26" s="409">
        <v>0</v>
      </c>
      <c r="BF26" s="409">
        <v>0</v>
      </c>
      <c r="BG26" s="409">
        <v>1993.3769121440671</v>
      </c>
      <c r="BH26" s="409">
        <v>0</v>
      </c>
      <c r="BI26" s="409">
        <v>0</v>
      </c>
      <c r="BJ26" s="409">
        <v>0</v>
      </c>
      <c r="BK26" s="409">
        <v>0</v>
      </c>
      <c r="BL26" s="409">
        <v>9</v>
      </c>
      <c r="BM26" s="409"/>
      <c r="BN26" s="409"/>
      <c r="BO26" s="409"/>
      <c r="BP26" s="409"/>
      <c r="BQ26" s="409">
        <v>2757.5084160000051</v>
      </c>
      <c r="BR26" s="409"/>
      <c r="BS26" s="409"/>
      <c r="BT26" s="409"/>
      <c r="BU26" s="409"/>
      <c r="BV26" s="409">
        <v>16686.664880796012</v>
      </c>
      <c r="BW26" s="409"/>
      <c r="BX26" s="409"/>
      <c r="BY26" s="409"/>
      <c r="BZ26" s="409"/>
      <c r="CA26" s="409"/>
      <c r="CB26" s="409"/>
      <c r="CC26" s="409"/>
      <c r="CD26" s="409"/>
      <c r="CE26" s="409"/>
      <c r="CF26" s="409"/>
      <c r="CG26" s="409"/>
      <c r="CH26" s="409"/>
      <c r="CI26" s="409">
        <v>43202.64</v>
      </c>
      <c r="CJ26" s="409">
        <v>-4488.2411199999988</v>
      </c>
      <c r="CK26" s="409"/>
      <c r="CL26" s="409"/>
      <c r="CM26" s="409"/>
      <c r="CN26" s="409"/>
      <c r="CO26" s="409">
        <v>-5287.2045999999991</v>
      </c>
      <c r="CP26" s="409">
        <v>510.73020000000048</v>
      </c>
      <c r="CQ26" s="409">
        <v>31</v>
      </c>
      <c r="CR26" s="409">
        <v>897.93269516517103</v>
      </c>
      <c r="CS26" s="409">
        <v>0</v>
      </c>
      <c r="CT26" s="409">
        <v>0</v>
      </c>
      <c r="CU26" s="409">
        <v>0</v>
      </c>
      <c r="CV26" s="409">
        <v>0</v>
      </c>
      <c r="CW26" s="409">
        <v>0</v>
      </c>
      <c r="CX26" s="409">
        <v>0</v>
      </c>
      <c r="CY26" s="409">
        <v>0</v>
      </c>
      <c r="CZ26" s="409">
        <v>265.23502272071437</v>
      </c>
      <c r="DA26" s="409">
        <v>0</v>
      </c>
      <c r="DB26" s="409">
        <v>0</v>
      </c>
      <c r="DC26" s="409">
        <v>673.0981517332948</v>
      </c>
      <c r="DD26" s="409">
        <v>0</v>
      </c>
      <c r="DE26" s="409">
        <v>0</v>
      </c>
      <c r="DF26" s="409">
        <v>0</v>
      </c>
      <c r="DG26" s="409">
        <v>91.3164104681357</v>
      </c>
      <c r="DH26" s="409">
        <v>0</v>
      </c>
      <c r="DI26" s="409">
        <v>-10.955478712289278</v>
      </c>
      <c r="DJ26" s="409"/>
      <c r="DK26" s="409">
        <v>0</v>
      </c>
      <c r="DL26" s="409">
        <v>0</v>
      </c>
      <c r="DM26" s="409">
        <v>0</v>
      </c>
      <c r="DN26" s="409">
        <v>0</v>
      </c>
      <c r="DO26" s="409">
        <v>-3.4399945869054136</v>
      </c>
      <c r="DP26" s="409">
        <v>-6.1051861634628466</v>
      </c>
      <c r="DQ26" s="409">
        <v>0</v>
      </c>
      <c r="DR26" s="409">
        <v>-111.21623029431746</v>
      </c>
      <c r="DS26" s="409"/>
      <c r="DT26" s="409"/>
      <c r="DU26" s="409"/>
      <c r="DV26" s="409">
        <v>24754.025739933371</v>
      </c>
      <c r="DW26" s="409">
        <v>0</v>
      </c>
      <c r="DX26" s="409">
        <v>0</v>
      </c>
      <c r="DY26" s="409">
        <v>-5287.2046000000009</v>
      </c>
      <c r="DZ26" s="409">
        <v>510.73019999999997</v>
      </c>
      <c r="EA26" s="409">
        <v>0</v>
      </c>
      <c r="EB26" s="409">
        <v>0</v>
      </c>
      <c r="EC26" s="409">
        <v>-5674.2047766551696</v>
      </c>
      <c r="ED26" s="409">
        <v>0</v>
      </c>
      <c r="EE26" s="409">
        <v>0</v>
      </c>
      <c r="EF26" s="409">
        <v>0</v>
      </c>
      <c r="EG26" s="409">
        <v>0</v>
      </c>
      <c r="EH26" s="409">
        <v>0</v>
      </c>
      <c r="EI26" s="409">
        <v>0</v>
      </c>
      <c r="EJ26" s="409">
        <v>0</v>
      </c>
      <c r="EK26" s="409">
        <v>0</v>
      </c>
      <c r="EL26" s="409">
        <v>0</v>
      </c>
      <c r="EM26" s="409">
        <v>0</v>
      </c>
      <c r="EN26" s="409">
        <v>0</v>
      </c>
      <c r="EO26" s="409">
        <v>0</v>
      </c>
      <c r="EP26" s="409">
        <v>0</v>
      </c>
      <c r="EQ26" s="409">
        <v>0</v>
      </c>
      <c r="ER26" s="409">
        <v>0</v>
      </c>
      <c r="ES26" s="409">
        <v>0</v>
      </c>
      <c r="ET26" s="409">
        <v>0</v>
      </c>
      <c r="EU26" s="409">
        <v>0</v>
      </c>
      <c r="EV26" s="409">
        <v>254</v>
      </c>
      <c r="EW26" s="409">
        <v>0</v>
      </c>
      <c r="EX26" s="409">
        <v>0</v>
      </c>
      <c r="EY26" s="409">
        <v>0</v>
      </c>
      <c r="EZ26" s="409"/>
      <c r="FA26" s="409">
        <v>0</v>
      </c>
      <c r="FB26" s="409"/>
      <c r="FC26" s="409"/>
      <c r="FD26" s="409"/>
      <c r="FE26" s="409"/>
      <c r="FF26" s="409">
        <v>0</v>
      </c>
      <c r="FG26" s="409">
        <v>0</v>
      </c>
      <c r="FH26" s="409">
        <v>0</v>
      </c>
      <c r="FI26" s="409">
        <v>0</v>
      </c>
    </row>
    <row r="27" spans="1:165" customFormat="1">
      <c r="A27" s="409">
        <v>25</v>
      </c>
      <c r="B27" s="409" t="s">
        <v>1035</v>
      </c>
      <c r="C27" s="409" t="s">
        <v>2244</v>
      </c>
      <c r="D27" s="409" t="s">
        <v>1994</v>
      </c>
      <c r="E27" s="409" t="s">
        <v>2260</v>
      </c>
      <c r="F27" s="409" t="s">
        <v>1323</v>
      </c>
      <c r="G27" s="409" t="s">
        <v>1323</v>
      </c>
      <c r="H27" s="409" t="s">
        <v>1323</v>
      </c>
      <c r="I27" s="409" t="s">
        <v>1323</v>
      </c>
      <c r="J27" s="409" t="s">
        <v>2245</v>
      </c>
      <c r="K27" s="835">
        <v>44317</v>
      </c>
      <c r="L27" s="409">
        <v>0</v>
      </c>
      <c r="M27" s="409">
        <v>0</v>
      </c>
      <c r="N27" s="409">
        <v>2.827</v>
      </c>
      <c r="O27" s="409">
        <v>2.827</v>
      </c>
      <c r="P27" s="409">
        <v>2.827</v>
      </c>
      <c r="Q27" s="409">
        <v>2.827</v>
      </c>
      <c r="R27" s="409"/>
      <c r="S27" s="409">
        <v>597.01</v>
      </c>
      <c r="T27" s="409">
        <v>243.39</v>
      </c>
      <c r="U27" s="409"/>
      <c r="V27" s="409">
        <v>2375.8107999999997</v>
      </c>
      <c r="W27" s="409">
        <v>2375.8107999999997</v>
      </c>
      <c r="X27" s="409">
        <v>2152.1385599999999</v>
      </c>
      <c r="Y27" s="409">
        <v>0</v>
      </c>
      <c r="Z27" s="409">
        <v>70.345590794113619</v>
      </c>
      <c r="AA27" s="409">
        <v>0</v>
      </c>
      <c r="AB27" s="409">
        <v>0</v>
      </c>
      <c r="AC27" s="409">
        <v>0</v>
      </c>
      <c r="AD27" s="409">
        <v>331.29348847888764</v>
      </c>
      <c r="AE27" s="409">
        <v>1159.1789095045826</v>
      </c>
      <c r="AF27" s="409">
        <v>688.05574105315634</v>
      </c>
      <c r="AG27" s="409">
        <v>0</v>
      </c>
      <c r="AH27" s="409">
        <v>0</v>
      </c>
      <c r="AI27" s="409">
        <v>0</v>
      </c>
      <c r="AJ27" s="409">
        <v>0</v>
      </c>
      <c r="AK27" s="409">
        <v>0</v>
      </c>
      <c r="AL27" s="409">
        <v>28.719749763442547</v>
      </c>
      <c r="AM27" s="409"/>
      <c r="AN27" s="409">
        <v>4.8535955047844039</v>
      </c>
      <c r="AO27" s="409">
        <v>0</v>
      </c>
      <c r="AP27" s="409">
        <v>0</v>
      </c>
      <c r="AQ27" s="409">
        <v>0</v>
      </c>
      <c r="AR27" s="409">
        <v>0</v>
      </c>
      <c r="AS27" s="409">
        <v>0</v>
      </c>
      <c r="AT27" s="409">
        <v>0</v>
      </c>
      <c r="AU27" s="409">
        <v>0</v>
      </c>
      <c r="AV27" s="409">
        <v>0</v>
      </c>
      <c r="AW27" s="409">
        <v>0</v>
      </c>
      <c r="AX27" s="409">
        <v>0</v>
      </c>
      <c r="AY27" s="409">
        <v>0</v>
      </c>
      <c r="AZ27" s="409">
        <v>0</v>
      </c>
      <c r="BA27" s="409"/>
      <c r="BB27" s="409">
        <v>0</v>
      </c>
      <c r="BC27" s="409">
        <v>0</v>
      </c>
      <c r="BD27" s="409">
        <v>0</v>
      </c>
      <c r="BE27" s="409">
        <v>0</v>
      </c>
      <c r="BF27" s="409">
        <v>0</v>
      </c>
      <c r="BG27" s="409">
        <v>93.345644038947782</v>
      </c>
      <c r="BH27" s="409">
        <v>0</v>
      </c>
      <c r="BI27" s="409">
        <v>0</v>
      </c>
      <c r="BJ27" s="409">
        <v>0</v>
      </c>
      <c r="BK27" s="409">
        <v>736.78</v>
      </c>
      <c r="BL27" s="409">
        <v>3</v>
      </c>
      <c r="BM27" s="409"/>
      <c r="BN27" s="409"/>
      <c r="BO27" s="409"/>
      <c r="BP27" s="409"/>
      <c r="BQ27" s="409"/>
      <c r="BR27" s="409"/>
      <c r="BS27" s="409"/>
      <c r="BT27" s="409"/>
      <c r="BU27" s="409"/>
      <c r="BV27" s="409">
        <v>781.40138509210408</v>
      </c>
      <c r="BW27" s="409"/>
      <c r="BX27" s="409"/>
      <c r="BY27" s="409"/>
      <c r="BZ27" s="409"/>
      <c r="CA27" s="409"/>
      <c r="CB27" s="409"/>
      <c r="CC27" s="409"/>
      <c r="CD27" s="409"/>
      <c r="CE27" s="409"/>
      <c r="CF27" s="409"/>
      <c r="CG27" s="409"/>
      <c r="CH27" s="409"/>
      <c r="CI27" s="409">
        <v>2154.4224000000004</v>
      </c>
      <c r="CJ27" s="409">
        <v>-221.41839999999956</v>
      </c>
      <c r="CK27" s="409"/>
      <c r="CL27" s="409"/>
      <c r="CM27" s="409"/>
      <c r="CN27" s="409"/>
      <c r="CO27" s="409">
        <v>-247.58865999999995</v>
      </c>
      <c r="CP27" s="409">
        <v>23.916420000000024</v>
      </c>
      <c r="CQ27" s="409">
        <v>31</v>
      </c>
      <c r="CR27" s="409">
        <v>42.048297651680286</v>
      </c>
      <c r="CS27" s="409">
        <v>0</v>
      </c>
      <c r="CT27" s="409">
        <v>0</v>
      </c>
      <c r="CU27" s="409">
        <v>0</v>
      </c>
      <c r="CV27" s="409">
        <v>0</v>
      </c>
      <c r="CW27" s="409">
        <v>0</v>
      </c>
      <c r="CX27" s="409">
        <v>0</v>
      </c>
      <c r="CY27" s="409">
        <v>0</v>
      </c>
      <c r="CZ27" s="409">
        <v>12.420397701365857</v>
      </c>
      <c r="DA27" s="409">
        <v>0</v>
      </c>
      <c r="DB27" s="409">
        <v>0</v>
      </c>
      <c r="DC27" s="409">
        <v>31.519769338247897</v>
      </c>
      <c r="DD27" s="409">
        <v>0</v>
      </c>
      <c r="DE27" s="409">
        <v>0</v>
      </c>
      <c r="DF27" s="409">
        <v>0</v>
      </c>
      <c r="DG27" s="409">
        <v>4.2761552491869992</v>
      </c>
      <c r="DH27" s="409">
        <v>0</v>
      </c>
      <c r="DI27" s="409">
        <v>-0.51302200297567424</v>
      </c>
      <c r="DJ27" s="409"/>
      <c r="DK27" s="409">
        <v>0</v>
      </c>
      <c r="DL27" s="409">
        <v>0</v>
      </c>
      <c r="DM27" s="409">
        <v>0</v>
      </c>
      <c r="DN27" s="409">
        <v>0</v>
      </c>
      <c r="DO27" s="409">
        <v>-0.16108770411100792</v>
      </c>
      <c r="DP27" s="409">
        <v>-0.28589301447920246</v>
      </c>
      <c r="DQ27" s="409">
        <v>0</v>
      </c>
      <c r="DR27" s="409">
        <v>-5.2080219155546708</v>
      </c>
      <c r="DS27" s="409"/>
      <c r="DT27" s="409"/>
      <c r="DU27" s="409"/>
      <c r="DV27" s="409">
        <v>1159.1789095045826</v>
      </c>
      <c r="DW27" s="409">
        <v>0</v>
      </c>
      <c r="DX27" s="409">
        <v>0</v>
      </c>
      <c r="DY27" s="409">
        <v>-247.58865999999989</v>
      </c>
      <c r="DZ27" s="409">
        <v>23.916420000000016</v>
      </c>
      <c r="EA27" s="409">
        <v>0</v>
      </c>
      <c r="EB27" s="409">
        <v>0</v>
      </c>
      <c r="EC27" s="409">
        <v>-265.71106350180844</v>
      </c>
      <c r="ED27" s="409">
        <v>0</v>
      </c>
      <c r="EE27" s="409">
        <v>0</v>
      </c>
      <c r="EF27" s="409">
        <v>0</v>
      </c>
      <c r="EG27" s="409">
        <v>0</v>
      </c>
      <c r="EH27" s="409">
        <v>0</v>
      </c>
      <c r="EI27" s="409">
        <v>0</v>
      </c>
      <c r="EJ27" s="409">
        <v>0</v>
      </c>
      <c r="EK27" s="409">
        <v>0</v>
      </c>
      <c r="EL27" s="409">
        <v>0</v>
      </c>
      <c r="EM27" s="409">
        <v>0</v>
      </c>
      <c r="EN27" s="409">
        <v>0</v>
      </c>
      <c r="EO27" s="409">
        <v>0</v>
      </c>
      <c r="EP27" s="409">
        <v>0</v>
      </c>
      <c r="EQ27" s="409">
        <v>0</v>
      </c>
      <c r="ER27" s="409">
        <v>0</v>
      </c>
      <c r="ES27" s="409">
        <v>0</v>
      </c>
      <c r="ET27" s="409">
        <v>0</v>
      </c>
      <c r="EU27" s="409">
        <v>0</v>
      </c>
      <c r="EV27" s="409">
        <v>254</v>
      </c>
      <c r="EW27" s="409">
        <v>0</v>
      </c>
      <c r="EX27" s="409">
        <v>0</v>
      </c>
      <c r="EY27" s="409">
        <v>0</v>
      </c>
      <c r="EZ27" s="409"/>
      <c r="FA27" s="409">
        <v>0</v>
      </c>
      <c r="FB27" s="409"/>
      <c r="FC27" s="409"/>
      <c r="FD27" s="409"/>
      <c r="FE27" s="409"/>
      <c r="FF27" s="409">
        <v>0</v>
      </c>
      <c r="FG27" s="409">
        <v>0</v>
      </c>
      <c r="FH27" s="409">
        <v>0</v>
      </c>
      <c r="FI27" s="409">
        <v>0</v>
      </c>
    </row>
    <row r="28" spans="1:165" customFormat="1">
      <c r="A28" s="409">
        <v>26</v>
      </c>
      <c r="B28" s="409" t="s">
        <v>1035</v>
      </c>
      <c r="C28" s="409" t="s">
        <v>2244</v>
      </c>
      <c r="D28" s="409" t="s">
        <v>2254</v>
      </c>
      <c r="E28" s="409" t="s">
        <v>973</v>
      </c>
      <c r="F28" s="409" t="s">
        <v>2261</v>
      </c>
      <c r="G28" s="409" t="s">
        <v>2262</v>
      </c>
      <c r="H28" s="409" t="s">
        <v>1323</v>
      </c>
      <c r="I28" s="409" t="s">
        <v>1323</v>
      </c>
      <c r="J28" s="409" t="s">
        <v>2245</v>
      </c>
      <c r="K28" s="835">
        <v>44317</v>
      </c>
      <c r="L28" s="409">
        <v>0</v>
      </c>
      <c r="M28" s="409">
        <v>0</v>
      </c>
      <c r="N28" s="409">
        <v>0</v>
      </c>
      <c r="O28" s="409">
        <v>0</v>
      </c>
      <c r="P28" s="409">
        <v>0</v>
      </c>
      <c r="Q28" s="409">
        <v>0</v>
      </c>
      <c r="R28" s="409"/>
      <c r="S28" s="409"/>
      <c r="T28" s="409"/>
      <c r="U28" s="409"/>
      <c r="V28" s="409"/>
      <c r="W28" s="409"/>
      <c r="X28" s="409"/>
      <c r="Y28" s="409"/>
      <c r="Z28" s="409"/>
      <c r="AA28" s="409">
        <v>0</v>
      </c>
      <c r="AB28" s="409"/>
      <c r="AC28" s="409"/>
      <c r="AD28" s="409"/>
      <c r="AE28" s="409"/>
      <c r="AF28" s="409"/>
      <c r="AG28" s="409"/>
      <c r="AH28" s="409"/>
      <c r="AI28" s="409"/>
      <c r="AJ28" s="409"/>
      <c r="AK28" s="409"/>
      <c r="AL28" s="409"/>
      <c r="AM28" s="409"/>
      <c r="AN28" s="409"/>
      <c r="AO28" s="409"/>
      <c r="AP28" s="409"/>
      <c r="AQ28" s="409"/>
      <c r="AR28" s="409"/>
      <c r="AS28" s="409"/>
      <c r="AT28" s="409"/>
      <c r="AU28" s="409"/>
      <c r="AV28" s="409"/>
      <c r="AW28" s="409"/>
      <c r="AX28" s="409"/>
      <c r="AY28" s="409"/>
      <c r="AZ28" s="409">
        <v>0</v>
      </c>
      <c r="BA28" s="409"/>
      <c r="BB28" s="409"/>
      <c r="BC28" s="409"/>
      <c r="BD28" s="409"/>
      <c r="BE28" s="409"/>
      <c r="BF28" s="409"/>
      <c r="BG28" s="409"/>
      <c r="BH28" s="409"/>
      <c r="BI28" s="409">
        <v>0</v>
      </c>
      <c r="BJ28" s="409">
        <v>0</v>
      </c>
      <c r="BK28" s="409">
        <v>0</v>
      </c>
      <c r="BL28" s="409">
        <v>7</v>
      </c>
      <c r="BM28" s="409"/>
      <c r="BN28" s="409"/>
      <c r="BO28" s="409"/>
      <c r="BP28" s="409"/>
      <c r="BQ28" s="409"/>
      <c r="BR28" s="409"/>
      <c r="BS28" s="409"/>
      <c r="BT28" s="409"/>
      <c r="BU28" s="409"/>
      <c r="BV28" s="409"/>
      <c r="BW28" s="409"/>
      <c r="BX28" s="409"/>
      <c r="BY28" s="409"/>
      <c r="BZ28" s="409"/>
      <c r="CA28" s="409"/>
      <c r="CB28" s="409"/>
      <c r="CC28" s="409"/>
      <c r="CD28" s="409"/>
      <c r="CE28" s="409"/>
      <c r="CF28" s="409"/>
      <c r="CG28" s="409"/>
      <c r="CH28" s="409"/>
      <c r="CI28" s="409"/>
      <c r="CJ28" s="409">
        <v>-0.03</v>
      </c>
      <c r="CK28" s="409"/>
      <c r="CL28" s="409"/>
      <c r="CM28" s="409"/>
      <c r="CN28" s="409"/>
      <c r="CO28" s="409">
        <v>0</v>
      </c>
      <c r="CP28" s="409">
        <v>0</v>
      </c>
      <c r="CQ28" s="409">
        <v>31</v>
      </c>
      <c r="CR28" s="409"/>
      <c r="CS28" s="409"/>
      <c r="CT28" s="409"/>
      <c r="CU28" s="409"/>
      <c r="CV28" s="409"/>
      <c r="CW28" s="409"/>
      <c r="CX28" s="409"/>
      <c r="CY28" s="409"/>
      <c r="CZ28" s="409"/>
      <c r="DA28" s="409"/>
      <c r="DB28" s="409"/>
      <c r="DC28" s="409"/>
      <c r="DD28" s="409"/>
      <c r="DE28" s="409"/>
      <c r="DF28" s="409"/>
      <c r="DG28" s="409"/>
      <c r="DH28" s="409"/>
      <c r="DI28" s="409"/>
      <c r="DJ28" s="409"/>
      <c r="DK28" s="409">
        <v>0</v>
      </c>
      <c r="DL28" s="409"/>
      <c r="DM28" s="409"/>
      <c r="DN28" s="409"/>
      <c r="DO28" s="409"/>
      <c r="DP28" s="409"/>
      <c r="DQ28" s="409"/>
      <c r="DR28" s="409"/>
      <c r="DS28" s="409"/>
      <c r="DT28" s="409"/>
      <c r="DU28" s="409"/>
      <c r="DV28" s="409"/>
      <c r="DW28" s="409"/>
      <c r="DX28" s="409"/>
      <c r="DY28" s="409"/>
      <c r="DZ28" s="409"/>
      <c r="EA28" s="409"/>
      <c r="EB28" s="409"/>
      <c r="EC28" s="409"/>
      <c r="ED28" s="409"/>
      <c r="EE28" s="409"/>
      <c r="EF28" s="409"/>
      <c r="EG28" s="409"/>
      <c r="EH28" s="409"/>
      <c r="EI28" s="409"/>
      <c r="EJ28" s="409"/>
      <c r="EK28" s="409"/>
      <c r="EL28" s="409"/>
      <c r="EM28" s="409"/>
      <c r="EN28" s="409"/>
      <c r="EO28" s="409"/>
      <c r="EP28" s="409"/>
      <c r="EQ28" s="409"/>
      <c r="ER28" s="409"/>
      <c r="ES28" s="409"/>
      <c r="ET28" s="409"/>
      <c r="EU28" s="409"/>
      <c r="EV28" s="409">
        <v>254</v>
      </c>
      <c r="EW28" s="409"/>
      <c r="EX28" s="409"/>
      <c r="EY28" s="409"/>
      <c r="EZ28" s="409"/>
      <c r="FA28" s="409">
        <v>0</v>
      </c>
      <c r="FB28" s="409"/>
      <c r="FC28" s="409"/>
      <c r="FD28" s="409"/>
      <c r="FE28" s="409"/>
      <c r="FF28" s="409">
        <v>0</v>
      </c>
      <c r="FG28" s="409">
        <v>0</v>
      </c>
      <c r="FH28" s="409">
        <v>0</v>
      </c>
      <c r="FI28" s="409">
        <v>0</v>
      </c>
    </row>
    <row r="29" spans="1:165" customFormat="1">
      <c r="A29" s="409">
        <v>27</v>
      </c>
      <c r="B29" s="409" t="s">
        <v>1035</v>
      </c>
      <c r="C29" s="409" t="s">
        <v>2244</v>
      </c>
      <c r="D29" s="409" t="s">
        <v>2254</v>
      </c>
      <c r="E29" s="409" t="s">
        <v>973</v>
      </c>
      <c r="F29" s="409" t="s">
        <v>2261</v>
      </c>
      <c r="G29" s="409" t="s">
        <v>2262</v>
      </c>
      <c r="H29" s="409" t="s">
        <v>1323</v>
      </c>
      <c r="I29" s="409" t="s">
        <v>1323</v>
      </c>
      <c r="J29" s="409" t="s">
        <v>2245</v>
      </c>
      <c r="K29" s="835">
        <v>44317</v>
      </c>
      <c r="L29" s="409">
        <v>0</v>
      </c>
      <c r="M29" s="409">
        <v>0</v>
      </c>
      <c r="N29" s="409">
        <v>1.0669999999999999</v>
      </c>
      <c r="O29" s="409">
        <v>1.0669999999999999</v>
      </c>
      <c r="P29" s="409">
        <v>1.0669999999999999</v>
      </c>
      <c r="Q29" s="409">
        <v>1.0669999999999999</v>
      </c>
      <c r="R29" s="409"/>
      <c r="S29" s="409">
        <v>597.01</v>
      </c>
      <c r="T29" s="409">
        <v>243.39</v>
      </c>
      <c r="U29" s="409"/>
      <c r="V29" s="409">
        <v>896.70679999999993</v>
      </c>
      <c r="W29" s="409">
        <v>896.70679999999993</v>
      </c>
      <c r="X29" s="409">
        <v>812.28575999999998</v>
      </c>
      <c r="Y29" s="409">
        <v>0</v>
      </c>
      <c r="Z29" s="409">
        <v>26.550670455365839</v>
      </c>
      <c r="AA29" s="409">
        <v>0</v>
      </c>
      <c r="AB29" s="409">
        <v>0</v>
      </c>
      <c r="AC29" s="409">
        <v>0</v>
      </c>
      <c r="AD29" s="409">
        <v>125.0407330056502</v>
      </c>
      <c r="AE29" s="409">
        <v>437.51110592196306</v>
      </c>
      <c r="AF29" s="409">
        <v>259.69419020294225</v>
      </c>
      <c r="AG29" s="409">
        <v>0</v>
      </c>
      <c r="AH29" s="409">
        <v>0</v>
      </c>
      <c r="AI29" s="409">
        <v>0</v>
      </c>
      <c r="AJ29" s="409">
        <v>0</v>
      </c>
      <c r="AK29" s="409">
        <v>0</v>
      </c>
      <c r="AL29" s="409">
        <v>10.839749910715669</v>
      </c>
      <c r="AM29" s="409"/>
      <c r="AN29" s="409">
        <v>1.8319018053077323</v>
      </c>
      <c r="AO29" s="409">
        <v>0</v>
      </c>
      <c r="AP29" s="409">
        <v>0</v>
      </c>
      <c r="AQ29" s="409">
        <v>0</v>
      </c>
      <c r="AR29" s="409">
        <v>0</v>
      </c>
      <c r="AS29" s="409">
        <v>0</v>
      </c>
      <c r="AT29" s="409">
        <v>0</v>
      </c>
      <c r="AU29" s="409">
        <v>0</v>
      </c>
      <c r="AV29" s="409">
        <v>0</v>
      </c>
      <c r="AW29" s="409">
        <v>0</v>
      </c>
      <c r="AX29" s="409">
        <v>0</v>
      </c>
      <c r="AY29" s="409">
        <v>0</v>
      </c>
      <c r="AZ29" s="409">
        <v>0</v>
      </c>
      <c r="BA29" s="409"/>
      <c r="BB29" s="409">
        <v>0</v>
      </c>
      <c r="BC29" s="409">
        <v>0</v>
      </c>
      <c r="BD29" s="409">
        <v>0</v>
      </c>
      <c r="BE29" s="409">
        <v>0</v>
      </c>
      <c r="BF29" s="409">
        <v>0</v>
      </c>
      <c r="BG29" s="409">
        <v>35.231624403805192</v>
      </c>
      <c r="BH29" s="409">
        <v>0</v>
      </c>
      <c r="BI29" s="409">
        <v>0</v>
      </c>
      <c r="BJ29" s="409">
        <v>0</v>
      </c>
      <c r="BK29" s="409">
        <v>0</v>
      </c>
      <c r="BL29" s="409">
        <v>0</v>
      </c>
      <c r="BM29" s="409"/>
      <c r="BN29" s="409"/>
      <c r="BO29" s="409"/>
      <c r="BP29" s="409"/>
      <c r="BQ29" s="409"/>
      <c r="BR29" s="409">
        <v>97.481119999999976</v>
      </c>
      <c r="BS29" s="409"/>
      <c r="BT29" s="409"/>
      <c r="BU29" s="409"/>
      <c r="BV29" s="409">
        <v>294.92581460674745</v>
      </c>
      <c r="BW29" s="409"/>
      <c r="BX29" s="409"/>
      <c r="BY29" s="409"/>
      <c r="BZ29" s="409"/>
      <c r="CA29" s="409"/>
      <c r="CB29" s="409"/>
      <c r="CC29" s="409"/>
      <c r="CD29" s="409"/>
      <c r="CE29" s="409"/>
      <c r="CF29" s="409"/>
      <c r="CG29" s="409"/>
      <c r="CH29" s="409"/>
      <c r="CI29" s="409">
        <v>716.81440000000009</v>
      </c>
      <c r="CJ29" s="409">
        <v>-72.315449999999942</v>
      </c>
      <c r="CK29" s="409"/>
      <c r="CL29" s="409"/>
      <c r="CM29" s="409"/>
      <c r="CN29" s="409"/>
      <c r="CO29" s="409">
        <v>-93.447859999999977</v>
      </c>
      <c r="CP29" s="409">
        <v>9.0268200000000078</v>
      </c>
      <c r="CQ29" s="409">
        <v>31</v>
      </c>
      <c r="CR29" s="409">
        <v>15.870369152579713</v>
      </c>
      <c r="CS29" s="409">
        <v>0</v>
      </c>
      <c r="CT29" s="409">
        <v>0</v>
      </c>
      <c r="CU29" s="409">
        <v>0</v>
      </c>
      <c r="CV29" s="409">
        <v>0</v>
      </c>
      <c r="CW29" s="409">
        <v>0</v>
      </c>
      <c r="CX29" s="409">
        <v>0</v>
      </c>
      <c r="CY29" s="409">
        <v>0</v>
      </c>
      <c r="CZ29" s="409">
        <v>4.6878543853404153</v>
      </c>
      <c r="DA29" s="409">
        <v>0</v>
      </c>
      <c r="DB29" s="409">
        <v>0</v>
      </c>
      <c r="DC29" s="409">
        <v>11.896566637393164</v>
      </c>
      <c r="DD29" s="409">
        <v>0</v>
      </c>
      <c r="DE29" s="409">
        <v>0</v>
      </c>
      <c r="DF29" s="409">
        <v>0</v>
      </c>
      <c r="DG29" s="409">
        <v>1.6139574286814735</v>
      </c>
      <c r="DH29" s="409">
        <v>0</v>
      </c>
      <c r="DI29" s="409">
        <v>-0.19363087271844748</v>
      </c>
      <c r="DJ29" s="409"/>
      <c r="DK29" s="409">
        <v>0</v>
      </c>
      <c r="DL29" s="409">
        <v>0</v>
      </c>
      <c r="DM29" s="409">
        <v>0</v>
      </c>
      <c r="DN29" s="409">
        <v>0</v>
      </c>
      <c r="DO29" s="409">
        <v>-6.0799639294815577E-2</v>
      </c>
      <c r="DP29" s="409">
        <v>-0.10790514554273423</v>
      </c>
      <c r="DQ29" s="409">
        <v>0</v>
      </c>
      <c r="DR29" s="409">
        <v>-1.9656736412793889</v>
      </c>
      <c r="DS29" s="409"/>
      <c r="DT29" s="409"/>
      <c r="DU29" s="409"/>
      <c r="DV29" s="409">
        <v>437.51110592196306</v>
      </c>
      <c r="DW29" s="409">
        <v>0</v>
      </c>
      <c r="DX29" s="409">
        <v>0</v>
      </c>
      <c r="DY29" s="409">
        <v>-93.447859999999878</v>
      </c>
      <c r="DZ29" s="409">
        <v>9.0268200000000434</v>
      </c>
      <c r="EA29" s="409">
        <v>0</v>
      </c>
      <c r="EB29" s="409">
        <v>0</v>
      </c>
      <c r="EC29" s="409">
        <v>-100.28783330612998</v>
      </c>
      <c r="ED29" s="409">
        <v>0</v>
      </c>
      <c r="EE29" s="409">
        <v>0</v>
      </c>
      <c r="EF29" s="409">
        <v>0</v>
      </c>
      <c r="EG29" s="409">
        <v>0</v>
      </c>
      <c r="EH29" s="409">
        <v>0</v>
      </c>
      <c r="EI29" s="409">
        <v>0</v>
      </c>
      <c r="EJ29" s="409">
        <v>0</v>
      </c>
      <c r="EK29" s="409">
        <v>0</v>
      </c>
      <c r="EL29" s="409">
        <v>0</v>
      </c>
      <c r="EM29" s="409">
        <v>0</v>
      </c>
      <c r="EN29" s="409">
        <v>0</v>
      </c>
      <c r="EO29" s="409">
        <v>0</v>
      </c>
      <c r="EP29" s="409">
        <v>0</v>
      </c>
      <c r="EQ29" s="409">
        <v>0</v>
      </c>
      <c r="ER29" s="409">
        <v>0</v>
      </c>
      <c r="ES29" s="409">
        <v>0</v>
      </c>
      <c r="ET29" s="409">
        <v>0</v>
      </c>
      <c r="EU29" s="409">
        <v>0</v>
      </c>
      <c r="EV29" s="409">
        <v>254</v>
      </c>
      <c r="EW29" s="409">
        <v>0</v>
      </c>
      <c r="EX29" s="409">
        <v>0</v>
      </c>
      <c r="EY29" s="409">
        <v>0</v>
      </c>
      <c r="EZ29" s="409"/>
      <c r="FA29" s="409">
        <v>0</v>
      </c>
      <c r="FB29" s="409"/>
      <c r="FC29" s="409"/>
      <c r="FD29" s="409"/>
      <c r="FE29" s="409"/>
      <c r="FF29" s="409">
        <v>0</v>
      </c>
      <c r="FG29" s="409">
        <v>0</v>
      </c>
      <c r="FH29" s="409">
        <v>0</v>
      </c>
      <c r="FI29" s="409">
        <v>0</v>
      </c>
    </row>
    <row r="30" spans="1:165" customFormat="1">
      <c r="A30" s="409">
        <v>28</v>
      </c>
      <c r="B30" s="409" t="s">
        <v>1035</v>
      </c>
      <c r="C30" s="409" t="s">
        <v>2244</v>
      </c>
      <c r="D30" s="409" t="s">
        <v>2254</v>
      </c>
      <c r="E30" s="409" t="s">
        <v>973</v>
      </c>
      <c r="F30" s="409" t="s">
        <v>2261</v>
      </c>
      <c r="G30" s="409" t="s">
        <v>2263</v>
      </c>
      <c r="H30" s="409" t="s">
        <v>1323</v>
      </c>
      <c r="I30" s="409" t="s">
        <v>1323</v>
      </c>
      <c r="J30" s="409" t="s">
        <v>2245</v>
      </c>
      <c r="K30" s="835">
        <v>44317</v>
      </c>
      <c r="L30" s="409">
        <v>0</v>
      </c>
      <c r="M30" s="409">
        <v>0</v>
      </c>
      <c r="N30" s="409">
        <v>0.34399999999999997</v>
      </c>
      <c r="O30" s="409">
        <v>9.2880000000000004E-2</v>
      </c>
      <c r="P30" s="409">
        <v>0.34399999999999997</v>
      </c>
      <c r="Q30" s="409">
        <v>9.2880000000000004E-2</v>
      </c>
      <c r="R30" s="409"/>
      <c r="S30" s="409">
        <v>597.01</v>
      </c>
      <c r="T30" s="409">
        <v>243.39</v>
      </c>
      <c r="U30" s="409"/>
      <c r="V30" s="409">
        <v>289.09759999999994</v>
      </c>
      <c r="W30" s="409">
        <v>289.09759999999994</v>
      </c>
      <c r="X30" s="409">
        <v>261.88031999999998</v>
      </c>
      <c r="Y30" s="409">
        <v>0</v>
      </c>
      <c r="Z30" s="409">
        <v>8.5599162480279745</v>
      </c>
      <c r="AA30" s="409">
        <v>0</v>
      </c>
      <c r="AB30" s="409">
        <v>0</v>
      </c>
      <c r="AC30" s="409">
        <v>0</v>
      </c>
      <c r="AD30" s="409">
        <v>40.313038569769134</v>
      </c>
      <c r="AE30" s="409">
        <v>141.05325251842106</v>
      </c>
      <c r="AF30" s="409">
        <v>83.725212211632737</v>
      </c>
      <c r="AG30" s="409">
        <v>0</v>
      </c>
      <c r="AH30" s="409">
        <v>0</v>
      </c>
      <c r="AI30" s="409">
        <v>0</v>
      </c>
      <c r="AJ30" s="409">
        <v>0</v>
      </c>
      <c r="AK30" s="409">
        <v>0</v>
      </c>
      <c r="AL30" s="409">
        <v>3.4947272439420716</v>
      </c>
      <c r="AM30" s="409"/>
      <c r="AN30" s="409">
        <v>0.5906037685340767</v>
      </c>
      <c r="AO30" s="409">
        <v>0</v>
      </c>
      <c r="AP30" s="409">
        <v>0</v>
      </c>
      <c r="AQ30" s="409">
        <v>0</v>
      </c>
      <c r="AR30" s="409">
        <v>0</v>
      </c>
      <c r="AS30" s="409">
        <v>0</v>
      </c>
      <c r="AT30" s="409">
        <v>0</v>
      </c>
      <c r="AU30" s="409">
        <v>0</v>
      </c>
      <c r="AV30" s="409">
        <v>0</v>
      </c>
      <c r="AW30" s="409">
        <v>0</v>
      </c>
      <c r="AX30" s="409">
        <v>0</v>
      </c>
      <c r="AY30" s="409">
        <v>0</v>
      </c>
      <c r="AZ30" s="409">
        <v>0</v>
      </c>
      <c r="BA30" s="409"/>
      <c r="BB30" s="409">
        <v>0</v>
      </c>
      <c r="BC30" s="409">
        <v>0</v>
      </c>
      <c r="BD30" s="409">
        <v>0</v>
      </c>
      <c r="BE30" s="409">
        <v>0</v>
      </c>
      <c r="BF30" s="409">
        <v>0</v>
      </c>
      <c r="BG30" s="409">
        <v>11.358649292323323</v>
      </c>
      <c r="BH30" s="409">
        <v>0</v>
      </c>
      <c r="BI30" s="409">
        <v>0</v>
      </c>
      <c r="BJ30" s="409">
        <v>0</v>
      </c>
      <c r="BK30" s="409">
        <v>0</v>
      </c>
      <c r="BL30" s="409">
        <v>0</v>
      </c>
      <c r="BM30" s="409"/>
      <c r="BN30" s="409"/>
      <c r="BO30" s="409"/>
      <c r="BP30" s="409"/>
      <c r="BQ30" s="409"/>
      <c r="BR30" s="409"/>
      <c r="BS30" s="409">
        <v>199.65815039999998</v>
      </c>
      <c r="BT30" s="409"/>
      <c r="BU30" s="409"/>
      <c r="BV30" s="409">
        <v>95.083861503956058</v>
      </c>
      <c r="BW30" s="409"/>
      <c r="BX30" s="409"/>
      <c r="BY30" s="409"/>
      <c r="BZ30" s="409"/>
      <c r="CA30" s="409"/>
      <c r="CB30" s="409"/>
      <c r="CC30" s="409"/>
      <c r="CD30" s="409"/>
      <c r="CE30" s="409"/>
      <c r="CF30" s="409"/>
      <c r="CG30" s="409"/>
      <c r="CH30" s="409"/>
      <c r="CI30" s="409">
        <v>60.2928</v>
      </c>
      <c r="CJ30" s="409">
        <v>-8.4266040000000118</v>
      </c>
      <c r="CK30" s="409"/>
      <c r="CL30" s="409"/>
      <c r="CM30" s="409"/>
      <c r="CN30" s="409"/>
      <c r="CO30" s="409">
        <v>-30.127519999999993</v>
      </c>
      <c r="CP30" s="409">
        <v>2.9102400000000026</v>
      </c>
      <c r="CQ30" s="409">
        <v>31</v>
      </c>
      <c r="CR30" s="409">
        <v>5.1165951157332756</v>
      </c>
      <c r="CS30" s="409">
        <v>0</v>
      </c>
      <c r="CT30" s="409">
        <v>0</v>
      </c>
      <c r="CU30" s="409">
        <v>0</v>
      </c>
      <c r="CV30" s="409">
        <v>0</v>
      </c>
      <c r="CW30" s="409">
        <v>0</v>
      </c>
      <c r="CX30" s="409">
        <v>0</v>
      </c>
      <c r="CY30" s="409">
        <v>0</v>
      </c>
      <c r="CZ30" s="409">
        <v>1.5113607390413364</v>
      </c>
      <c r="DA30" s="409">
        <v>0</v>
      </c>
      <c r="DB30" s="409">
        <v>0</v>
      </c>
      <c r="DC30" s="409">
        <v>3.8354441642579786</v>
      </c>
      <c r="DD30" s="409">
        <v>0</v>
      </c>
      <c r="DE30" s="409">
        <v>0</v>
      </c>
      <c r="DF30" s="409">
        <v>0</v>
      </c>
      <c r="DG30" s="409">
        <v>0.52033866491698966</v>
      </c>
      <c r="DH30" s="409">
        <v>0</v>
      </c>
      <c r="DI30" s="409">
        <v>-6.2426448186641892E-2</v>
      </c>
      <c r="DJ30" s="409"/>
      <c r="DK30" s="409">
        <v>0</v>
      </c>
      <c r="DL30" s="409">
        <v>0</v>
      </c>
      <c r="DM30" s="409">
        <v>0</v>
      </c>
      <c r="DN30" s="409">
        <v>0</v>
      </c>
      <c r="DO30" s="409">
        <v>-1.9601758123164892E-2</v>
      </c>
      <c r="DP30" s="409">
        <v>-3.4788538019400628E-2</v>
      </c>
      <c r="DQ30" s="409">
        <v>0</v>
      </c>
      <c r="DR30" s="409">
        <v>-0.63373170815380497</v>
      </c>
      <c r="DS30" s="409"/>
      <c r="DT30" s="409"/>
      <c r="DU30" s="409"/>
      <c r="DV30" s="409">
        <v>141.05325251842106</v>
      </c>
      <c r="DW30" s="409">
        <v>0</v>
      </c>
      <c r="DX30" s="409">
        <v>0</v>
      </c>
      <c r="DY30" s="409">
        <v>-30.127520000000004</v>
      </c>
      <c r="DZ30" s="409">
        <v>2.9102400000000017</v>
      </c>
      <c r="EA30" s="409">
        <v>0</v>
      </c>
      <c r="EB30" s="409">
        <v>0</v>
      </c>
      <c r="EC30" s="409">
        <v>-32.332722265518939</v>
      </c>
      <c r="ED30" s="409">
        <v>0</v>
      </c>
      <c r="EE30" s="409">
        <v>0</v>
      </c>
      <c r="EF30" s="409">
        <v>0</v>
      </c>
      <c r="EG30" s="409">
        <v>0</v>
      </c>
      <c r="EH30" s="409">
        <v>0</v>
      </c>
      <c r="EI30" s="409">
        <v>0</v>
      </c>
      <c r="EJ30" s="409">
        <v>0</v>
      </c>
      <c r="EK30" s="409">
        <v>0</v>
      </c>
      <c r="EL30" s="409">
        <v>0</v>
      </c>
      <c r="EM30" s="409">
        <v>0</v>
      </c>
      <c r="EN30" s="409">
        <v>0</v>
      </c>
      <c r="EO30" s="409">
        <v>0</v>
      </c>
      <c r="EP30" s="409">
        <v>0</v>
      </c>
      <c r="EQ30" s="409">
        <v>0</v>
      </c>
      <c r="ER30" s="409">
        <v>0</v>
      </c>
      <c r="ES30" s="409">
        <v>0</v>
      </c>
      <c r="ET30" s="409">
        <v>0</v>
      </c>
      <c r="EU30" s="409">
        <v>0</v>
      </c>
      <c r="EV30" s="409">
        <v>254</v>
      </c>
      <c r="EW30" s="409">
        <v>0</v>
      </c>
      <c r="EX30" s="409">
        <v>0</v>
      </c>
      <c r="EY30" s="409">
        <v>0</v>
      </c>
      <c r="EZ30" s="409"/>
      <c r="FA30" s="409">
        <v>0</v>
      </c>
      <c r="FB30" s="409"/>
      <c r="FC30" s="409"/>
      <c r="FD30" s="409"/>
      <c r="FE30" s="409"/>
      <c r="FF30" s="409">
        <v>0</v>
      </c>
      <c r="FG30" s="409">
        <v>0</v>
      </c>
      <c r="FH30" s="409">
        <v>0</v>
      </c>
      <c r="FI30" s="409">
        <v>0</v>
      </c>
    </row>
    <row r="31" spans="1:165" customFormat="1">
      <c r="A31" s="409">
        <v>29</v>
      </c>
      <c r="B31" s="409" t="s">
        <v>1035</v>
      </c>
      <c r="C31" s="409" t="s">
        <v>2244</v>
      </c>
      <c r="D31" s="409" t="s">
        <v>1991</v>
      </c>
      <c r="E31" s="409" t="s">
        <v>968</v>
      </c>
      <c r="F31" s="409" t="s">
        <v>968</v>
      </c>
      <c r="G31" s="409" t="s">
        <v>1323</v>
      </c>
      <c r="H31" s="409" t="s">
        <v>1323</v>
      </c>
      <c r="I31" s="409" t="s">
        <v>1323</v>
      </c>
      <c r="J31" s="409" t="s">
        <v>2245</v>
      </c>
      <c r="K31" s="835">
        <v>44348</v>
      </c>
      <c r="L31" s="409">
        <v>0</v>
      </c>
      <c r="M31" s="409">
        <v>0</v>
      </c>
      <c r="N31" s="409">
        <v>199.49600000000001</v>
      </c>
      <c r="O31" s="409">
        <v>199.49600000000001</v>
      </c>
      <c r="P31" s="409">
        <v>199.49600000000001</v>
      </c>
      <c r="Q31" s="409">
        <v>199.49600000000001</v>
      </c>
      <c r="R31" s="409"/>
      <c r="S31" s="409">
        <v>597.01</v>
      </c>
      <c r="T31" s="409">
        <v>243.39</v>
      </c>
      <c r="U31" s="409"/>
      <c r="V31" s="409">
        <v>167656.43840000001</v>
      </c>
      <c r="W31" s="409">
        <v>167656.43840000001</v>
      </c>
      <c r="X31" s="409">
        <v>151872.31488000002</v>
      </c>
      <c r="Y31" s="409">
        <v>0</v>
      </c>
      <c r="Z31" s="409">
        <v>4964.1542203970612</v>
      </c>
      <c r="AA31" s="409">
        <v>0</v>
      </c>
      <c r="AB31" s="409">
        <v>0</v>
      </c>
      <c r="AC31" s="409">
        <v>0</v>
      </c>
      <c r="AD31" s="409">
        <v>23378.749832891466</v>
      </c>
      <c r="AE31" s="409">
        <v>81801.045536089921</v>
      </c>
      <c r="AF31" s="409">
        <v>48554.781788871769</v>
      </c>
      <c r="AG31" s="409">
        <v>0</v>
      </c>
      <c r="AH31" s="409">
        <v>0</v>
      </c>
      <c r="AI31" s="409">
        <v>0</v>
      </c>
      <c r="AJ31" s="409">
        <v>0</v>
      </c>
      <c r="AK31" s="409">
        <v>0</v>
      </c>
      <c r="AL31" s="409">
        <v>2026.6979833065918</v>
      </c>
      <c r="AM31" s="409"/>
      <c r="AN31" s="409">
        <v>342.5089808356808</v>
      </c>
      <c r="AO31" s="409">
        <v>0</v>
      </c>
      <c r="AP31" s="409">
        <v>0</v>
      </c>
      <c r="AQ31" s="409">
        <v>0</v>
      </c>
      <c r="AR31" s="409">
        <v>0</v>
      </c>
      <c r="AS31" s="409">
        <v>0</v>
      </c>
      <c r="AT31" s="409">
        <v>0</v>
      </c>
      <c r="AU31" s="409">
        <v>0</v>
      </c>
      <c r="AV31" s="409">
        <v>0</v>
      </c>
      <c r="AW31" s="409">
        <v>0</v>
      </c>
      <c r="AX31" s="409">
        <v>0</v>
      </c>
      <c r="AY31" s="409">
        <v>0</v>
      </c>
      <c r="AZ31" s="409">
        <v>0</v>
      </c>
      <c r="BA31" s="409"/>
      <c r="BB31" s="409">
        <v>0</v>
      </c>
      <c r="BC31" s="409">
        <v>0</v>
      </c>
      <c r="BD31" s="409">
        <v>0</v>
      </c>
      <c r="BE31" s="409">
        <v>0</v>
      </c>
      <c r="BF31" s="409">
        <v>0</v>
      </c>
      <c r="BG31" s="409">
        <v>6587.2241256434127</v>
      </c>
      <c r="BH31" s="409">
        <v>0</v>
      </c>
      <c r="BI31" s="409">
        <v>44.07</v>
      </c>
      <c r="BJ31" s="409">
        <v>203.53</v>
      </c>
      <c r="BK31" s="409">
        <v>1475.09</v>
      </c>
      <c r="BL31" s="409">
        <v>1979</v>
      </c>
      <c r="BM31" s="409"/>
      <c r="BN31" s="409"/>
      <c r="BO31" s="409"/>
      <c r="BP31" s="409"/>
      <c r="BQ31" s="409"/>
      <c r="BR31" s="409"/>
      <c r="BS31" s="409"/>
      <c r="BT31" s="409"/>
      <c r="BU31" s="409"/>
      <c r="BV31" s="409">
        <v>55142.005914515183</v>
      </c>
      <c r="BW31" s="409"/>
      <c r="BX31" s="409"/>
      <c r="BY31" s="409"/>
      <c r="BZ31" s="409"/>
      <c r="CA31" s="409"/>
      <c r="CB31" s="409"/>
      <c r="CC31" s="409"/>
      <c r="CD31" s="409"/>
      <c r="CE31" s="409"/>
      <c r="CF31" s="409"/>
      <c r="CG31" s="409"/>
      <c r="CH31" s="409"/>
      <c r="CI31" s="409">
        <v>151875.35999999999</v>
      </c>
      <c r="CJ31" s="409">
        <v>-15781.108400000026</v>
      </c>
      <c r="CK31" s="409"/>
      <c r="CL31" s="409"/>
      <c r="CM31" s="409"/>
      <c r="CN31" s="409"/>
      <c r="CO31" s="409">
        <v>-17471.859679999998</v>
      </c>
      <c r="CP31" s="409">
        <v>1687.7361600000017</v>
      </c>
      <c r="CQ31" s="409">
        <v>30</v>
      </c>
      <c r="CR31" s="409">
        <v>2967.2681953730353</v>
      </c>
      <c r="CS31" s="409">
        <v>0</v>
      </c>
      <c r="CT31" s="409">
        <v>0</v>
      </c>
      <c r="CU31" s="409">
        <v>0</v>
      </c>
      <c r="CV31" s="409">
        <v>0</v>
      </c>
      <c r="CW31" s="409">
        <v>0</v>
      </c>
      <c r="CX31" s="409">
        <v>0</v>
      </c>
      <c r="CY31" s="409">
        <v>0</v>
      </c>
      <c r="CZ31" s="409">
        <v>876.48378487148148</v>
      </c>
      <c r="DA31" s="409">
        <v>0</v>
      </c>
      <c r="DB31" s="409">
        <v>0</v>
      </c>
      <c r="DC31" s="409">
        <v>2224.2900261418836</v>
      </c>
      <c r="DD31" s="409">
        <v>0</v>
      </c>
      <c r="DE31" s="409">
        <v>0</v>
      </c>
      <c r="DF31" s="409">
        <v>0</v>
      </c>
      <c r="DG31" s="409">
        <v>301.76012295430155</v>
      </c>
      <c r="DH31" s="409">
        <v>0</v>
      </c>
      <c r="DI31" s="409">
        <v>-36.202984614657908</v>
      </c>
      <c r="DJ31" s="409"/>
      <c r="DK31" s="409">
        <v>0</v>
      </c>
      <c r="DL31" s="409">
        <v>0</v>
      </c>
      <c r="DM31" s="409">
        <v>0</v>
      </c>
      <c r="DN31" s="409">
        <v>0</v>
      </c>
      <c r="DO31" s="409">
        <v>-11.367652146915361</v>
      </c>
      <c r="DP31" s="409">
        <v>-20.174924943948724</v>
      </c>
      <c r="DQ31" s="409">
        <v>0</v>
      </c>
      <c r="DR31" s="409">
        <v>-367.5201768891032</v>
      </c>
      <c r="DS31" s="409"/>
      <c r="DT31" s="409"/>
      <c r="DU31" s="409"/>
      <c r="DV31" s="409">
        <v>81801.045536089921</v>
      </c>
      <c r="DW31" s="409">
        <v>0</v>
      </c>
      <c r="DX31" s="409">
        <v>0</v>
      </c>
      <c r="DY31" s="409">
        <v>-17471.859679999994</v>
      </c>
      <c r="DZ31" s="409">
        <v>1687.7361600000004</v>
      </c>
      <c r="EA31" s="409">
        <v>0</v>
      </c>
      <c r="EB31" s="409">
        <v>0</v>
      </c>
      <c r="EC31" s="409">
        <v>-18750.723142680137</v>
      </c>
      <c r="ED31" s="409">
        <v>0</v>
      </c>
      <c r="EE31" s="409">
        <v>0</v>
      </c>
      <c r="EF31" s="409">
        <v>0</v>
      </c>
      <c r="EG31" s="409">
        <v>0</v>
      </c>
      <c r="EH31" s="409">
        <v>0</v>
      </c>
      <c r="EI31" s="409">
        <v>0</v>
      </c>
      <c r="EJ31" s="409">
        <v>0</v>
      </c>
      <c r="EK31" s="409">
        <v>0</v>
      </c>
      <c r="EL31" s="409">
        <v>0</v>
      </c>
      <c r="EM31" s="409">
        <v>0</v>
      </c>
      <c r="EN31" s="409">
        <v>0</v>
      </c>
      <c r="EO31" s="409">
        <v>0</v>
      </c>
      <c r="EP31" s="409">
        <v>0</v>
      </c>
      <c r="EQ31" s="409">
        <v>0</v>
      </c>
      <c r="ER31" s="409">
        <v>0</v>
      </c>
      <c r="ES31" s="409">
        <v>0</v>
      </c>
      <c r="ET31" s="409">
        <v>0</v>
      </c>
      <c r="EU31" s="409">
        <v>0</v>
      </c>
      <c r="EV31" s="409">
        <v>254</v>
      </c>
      <c r="EW31" s="409">
        <v>0</v>
      </c>
      <c r="EX31" s="409">
        <v>0</v>
      </c>
      <c r="EY31" s="409">
        <v>0</v>
      </c>
      <c r="EZ31" s="409"/>
      <c r="FA31" s="409">
        <v>0</v>
      </c>
      <c r="FB31" s="409"/>
      <c r="FC31" s="409"/>
      <c r="FD31" s="409"/>
      <c r="FE31" s="409"/>
      <c r="FF31" s="409">
        <v>0</v>
      </c>
      <c r="FG31" s="409">
        <v>0</v>
      </c>
      <c r="FH31" s="409">
        <v>0</v>
      </c>
      <c r="FI31" s="409">
        <v>0</v>
      </c>
    </row>
    <row r="32" spans="1:165" customFormat="1">
      <c r="A32" s="409">
        <v>30</v>
      </c>
      <c r="B32" s="409" t="s">
        <v>2246</v>
      </c>
      <c r="C32" s="409" t="s">
        <v>2244</v>
      </c>
      <c r="D32" s="409" t="s">
        <v>1991</v>
      </c>
      <c r="E32" s="409" t="s">
        <v>968</v>
      </c>
      <c r="F32" s="409" t="s">
        <v>968</v>
      </c>
      <c r="G32" s="409" t="s">
        <v>1323</v>
      </c>
      <c r="H32" s="409" t="s">
        <v>1323</v>
      </c>
      <c r="I32" s="409" t="s">
        <v>1323</v>
      </c>
      <c r="J32" s="409" t="s">
        <v>2245</v>
      </c>
      <c r="K32" s="835">
        <v>44348</v>
      </c>
      <c r="L32" s="409">
        <v>0</v>
      </c>
      <c r="M32" s="409">
        <v>0</v>
      </c>
      <c r="N32" s="409">
        <v>1.486</v>
      </c>
      <c r="O32" s="409">
        <v>1.486</v>
      </c>
      <c r="P32" s="409">
        <v>1.486</v>
      </c>
      <c r="Q32" s="409">
        <v>1.486</v>
      </c>
      <c r="R32" s="409"/>
      <c r="S32" s="409">
        <v>597.01</v>
      </c>
      <c r="T32" s="409">
        <v>243.39</v>
      </c>
      <c r="U32" s="409"/>
      <c r="V32" s="409">
        <v>1248.8344</v>
      </c>
      <c r="W32" s="409">
        <v>1248.8344</v>
      </c>
      <c r="X32" s="409">
        <v>1131.26208</v>
      </c>
      <c r="Y32" s="409">
        <v>0</v>
      </c>
      <c r="Z32" s="409">
        <v>36.976847513283637</v>
      </c>
      <c r="AA32" s="409">
        <v>0</v>
      </c>
      <c r="AB32" s="409">
        <v>0</v>
      </c>
      <c r="AC32" s="409">
        <v>0</v>
      </c>
      <c r="AD32" s="409">
        <v>174.14295149615387</v>
      </c>
      <c r="AE32" s="409">
        <v>609.31724779759804</v>
      </c>
      <c r="AF32" s="409">
        <v>361.67344577466935</v>
      </c>
      <c r="AG32" s="409">
        <v>0</v>
      </c>
      <c r="AH32" s="409">
        <v>0</v>
      </c>
      <c r="AI32" s="409">
        <v>0</v>
      </c>
      <c r="AJ32" s="409">
        <v>0</v>
      </c>
      <c r="AK32" s="409">
        <v>0</v>
      </c>
      <c r="AL32" s="409">
        <v>15.096408966563716</v>
      </c>
      <c r="AM32" s="409"/>
      <c r="AN32" s="409">
        <v>2.5512709303535992</v>
      </c>
      <c r="AO32" s="409">
        <v>0</v>
      </c>
      <c r="AP32" s="409">
        <v>0</v>
      </c>
      <c r="AQ32" s="409">
        <v>0</v>
      </c>
      <c r="AR32" s="409">
        <v>0</v>
      </c>
      <c r="AS32" s="409">
        <v>0</v>
      </c>
      <c r="AT32" s="409">
        <v>0</v>
      </c>
      <c r="AU32" s="409">
        <v>0</v>
      </c>
      <c r="AV32" s="409">
        <v>0</v>
      </c>
      <c r="AW32" s="409">
        <v>0</v>
      </c>
      <c r="AX32" s="409">
        <v>0</v>
      </c>
      <c r="AY32" s="409">
        <v>0</v>
      </c>
      <c r="AZ32" s="409">
        <v>0</v>
      </c>
      <c r="BA32" s="409"/>
      <c r="BB32" s="409">
        <v>0</v>
      </c>
      <c r="BC32" s="409">
        <v>0</v>
      </c>
      <c r="BD32" s="409">
        <v>0</v>
      </c>
      <c r="BE32" s="409">
        <v>0</v>
      </c>
      <c r="BF32" s="409">
        <v>0</v>
      </c>
      <c r="BG32" s="409">
        <v>49.066723396489706</v>
      </c>
      <c r="BH32" s="409">
        <v>0</v>
      </c>
      <c r="BI32" s="409">
        <v>0</v>
      </c>
      <c r="BJ32" s="409">
        <v>0</v>
      </c>
      <c r="BK32" s="409">
        <v>0</v>
      </c>
      <c r="BL32" s="409">
        <v>8</v>
      </c>
      <c r="BM32" s="409"/>
      <c r="BN32" s="409"/>
      <c r="BO32" s="409"/>
      <c r="BP32" s="409"/>
      <c r="BQ32" s="409"/>
      <c r="BR32" s="409"/>
      <c r="BS32" s="409"/>
      <c r="BT32" s="409"/>
      <c r="BU32" s="409"/>
      <c r="BV32" s="409">
        <v>410.74016917115904</v>
      </c>
      <c r="BW32" s="409"/>
      <c r="BX32" s="409"/>
      <c r="BY32" s="409"/>
      <c r="BZ32" s="409"/>
      <c r="CA32" s="409"/>
      <c r="CB32" s="409"/>
      <c r="CC32" s="409"/>
      <c r="CD32" s="409"/>
      <c r="CE32" s="409"/>
      <c r="CF32" s="409"/>
      <c r="CG32" s="409"/>
      <c r="CH32" s="409"/>
      <c r="CI32" s="409">
        <v>1134.3072</v>
      </c>
      <c r="CJ32" s="409">
        <v>-114.55719999999997</v>
      </c>
      <c r="CK32" s="409"/>
      <c r="CL32" s="409"/>
      <c r="CM32" s="409"/>
      <c r="CN32" s="409"/>
      <c r="CO32" s="409">
        <v>-130.14387999999997</v>
      </c>
      <c r="CP32" s="409">
        <v>12.571560000000012</v>
      </c>
      <c r="CQ32" s="409">
        <v>30</v>
      </c>
      <c r="CR32" s="409">
        <v>22.102500994127126</v>
      </c>
      <c r="CS32" s="409">
        <v>0</v>
      </c>
      <c r="CT32" s="409">
        <v>0</v>
      </c>
      <c r="CU32" s="409">
        <v>0</v>
      </c>
      <c r="CV32" s="409">
        <v>0</v>
      </c>
      <c r="CW32" s="409">
        <v>0</v>
      </c>
      <c r="CX32" s="409">
        <v>0</v>
      </c>
      <c r="CY32" s="409">
        <v>0</v>
      </c>
      <c r="CZ32" s="409">
        <v>6.5287269134169605</v>
      </c>
      <c r="DA32" s="409">
        <v>0</v>
      </c>
      <c r="DB32" s="409">
        <v>0</v>
      </c>
      <c r="DC32" s="409">
        <v>16.568226825835325</v>
      </c>
      <c r="DD32" s="409">
        <v>0</v>
      </c>
      <c r="DE32" s="409">
        <v>0</v>
      </c>
      <c r="DF32" s="409">
        <v>0</v>
      </c>
      <c r="DG32" s="409">
        <v>2.247742023449554</v>
      </c>
      <c r="DH32" s="409">
        <v>0</v>
      </c>
      <c r="DI32" s="409">
        <v>-0.26966773838763913</v>
      </c>
      <c r="DJ32" s="409"/>
      <c r="DK32" s="409">
        <v>0</v>
      </c>
      <c r="DL32" s="409">
        <v>0</v>
      </c>
      <c r="DM32" s="409">
        <v>0</v>
      </c>
      <c r="DN32" s="409">
        <v>0</v>
      </c>
      <c r="DO32" s="409">
        <v>-8.4675036543670146E-2</v>
      </c>
      <c r="DP32" s="409">
        <v>-0.15027839388613229</v>
      </c>
      <c r="DQ32" s="409">
        <v>0</v>
      </c>
      <c r="DR32" s="409">
        <v>-2.7375735997574253</v>
      </c>
      <c r="DS32" s="409"/>
      <c r="DT32" s="409"/>
      <c r="DU32" s="409"/>
      <c r="DV32" s="409">
        <v>609.31724779759804</v>
      </c>
      <c r="DW32" s="409">
        <v>0</v>
      </c>
      <c r="DX32" s="409">
        <v>0</v>
      </c>
      <c r="DY32" s="409">
        <v>-130.14387999999997</v>
      </c>
      <c r="DZ32" s="409">
        <v>12.571560000000034</v>
      </c>
      <c r="EA32" s="409">
        <v>0</v>
      </c>
      <c r="EB32" s="409">
        <v>0</v>
      </c>
      <c r="EC32" s="409">
        <v>-139.66984094930569</v>
      </c>
      <c r="ED32" s="409">
        <v>0</v>
      </c>
      <c r="EE32" s="409">
        <v>0</v>
      </c>
      <c r="EF32" s="409">
        <v>0</v>
      </c>
      <c r="EG32" s="409">
        <v>0</v>
      </c>
      <c r="EH32" s="409">
        <v>0</v>
      </c>
      <c r="EI32" s="409">
        <v>0</v>
      </c>
      <c r="EJ32" s="409">
        <v>0</v>
      </c>
      <c r="EK32" s="409">
        <v>0</v>
      </c>
      <c r="EL32" s="409">
        <v>0</v>
      </c>
      <c r="EM32" s="409">
        <v>0</v>
      </c>
      <c r="EN32" s="409">
        <v>0</v>
      </c>
      <c r="EO32" s="409">
        <v>0</v>
      </c>
      <c r="EP32" s="409">
        <v>0</v>
      </c>
      <c r="EQ32" s="409">
        <v>0</v>
      </c>
      <c r="ER32" s="409">
        <v>0</v>
      </c>
      <c r="ES32" s="409">
        <v>0</v>
      </c>
      <c r="ET32" s="409">
        <v>0</v>
      </c>
      <c r="EU32" s="409">
        <v>0</v>
      </c>
      <c r="EV32" s="409">
        <v>254</v>
      </c>
      <c r="EW32" s="409">
        <v>0</v>
      </c>
      <c r="EX32" s="409">
        <v>0</v>
      </c>
      <c r="EY32" s="409">
        <v>0</v>
      </c>
      <c r="EZ32" s="409"/>
      <c r="FA32" s="409">
        <v>0</v>
      </c>
      <c r="FB32" s="409"/>
      <c r="FC32" s="409"/>
      <c r="FD32" s="409"/>
      <c r="FE32" s="409"/>
      <c r="FF32" s="409">
        <v>0</v>
      </c>
      <c r="FG32" s="409">
        <v>0</v>
      </c>
      <c r="FH32" s="409">
        <v>0</v>
      </c>
      <c r="FI32" s="409">
        <v>0</v>
      </c>
    </row>
    <row r="33" spans="1:165" customFormat="1">
      <c r="A33" s="409">
        <v>31</v>
      </c>
      <c r="B33" s="409" t="s">
        <v>1035</v>
      </c>
      <c r="C33" s="409" t="s">
        <v>2244</v>
      </c>
      <c r="D33" s="409" t="s">
        <v>1991</v>
      </c>
      <c r="E33" s="409" t="s">
        <v>968</v>
      </c>
      <c r="F33" s="409" t="s">
        <v>2247</v>
      </c>
      <c r="G33" s="409" t="s">
        <v>1323</v>
      </c>
      <c r="H33" s="409" t="s">
        <v>1323</v>
      </c>
      <c r="I33" s="409" t="s">
        <v>1323</v>
      </c>
      <c r="J33" s="409" t="s">
        <v>2245</v>
      </c>
      <c r="K33" s="835">
        <v>44348</v>
      </c>
      <c r="L33" s="409">
        <v>0</v>
      </c>
      <c r="M33" s="409">
        <v>0</v>
      </c>
      <c r="N33" s="409">
        <v>59.97</v>
      </c>
      <c r="O33" s="409">
        <v>59.97</v>
      </c>
      <c r="P33" s="409">
        <v>59.97</v>
      </c>
      <c r="Q33" s="409">
        <v>59.97</v>
      </c>
      <c r="R33" s="409"/>
      <c r="S33" s="409">
        <v>561.96</v>
      </c>
      <c r="T33" s="409">
        <v>243.39</v>
      </c>
      <c r="U33" s="409"/>
      <c r="V33" s="409">
        <v>48296.839500000002</v>
      </c>
      <c r="W33" s="409">
        <v>48296.839500000002</v>
      </c>
      <c r="X33" s="409">
        <v>43563.407399999996</v>
      </c>
      <c r="Y33" s="409">
        <v>0</v>
      </c>
      <c r="Z33" s="409">
        <v>0</v>
      </c>
      <c r="AA33" s="409">
        <v>0</v>
      </c>
      <c r="AB33" s="409">
        <v>0</v>
      </c>
      <c r="AC33" s="409">
        <v>0</v>
      </c>
      <c r="AD33" s="409">
        <v>7027.8282646193456</v>
      </c>
      <c r="AE33" s="409">
        <v>24590.010330028232</v>
      </c>
      <c r="AF33" s="409">
        <v>14595.933070731442</v>
      </c>
      <c r="AG33" s="409">
        <v>0</v>
      </c>
      <c r="AH33" s="409">
        <v>0</v>
      </c>
      <c r="AI33" s="409">
        <v>0</v>
      </c>
      <c r="AJ33" s="409">
        <v>0</v>
      </c>
      <c r="AK33" s="409">
        <v>0</v>
      </c>
      <c r="AL33" s="409">
        <v>0</v>
      </c>
      <c r="AM33" s="409"/>
      <c r="AN33" s="409">
        <v>102.96077906682729</v>
      </c>
      <c r="AO33" s="409">
        <v>0</v>
      </c>
      <c r="AP33" s="409">
        <v>0</v>
      </c>
      <c r="AQ33" s="409">
        <v>0</v>
      </c>
      <c r="AR33" s="409">
        <v>0</v>
      </c>
      <c r="AS33" s="409">
        <v>0</v>
      </c>
      <c r="AT33" s="409">
        <v>0</v>
      </c>
      <c r="AU33" s="409">
        <v>0</v>
      </c>
      <c r="AV33" s="409">
        <v>0</v>
      </c>
      <c r="AW33" s="409">
        <v>0</v>
      </c>
      <c r="AX33" s="409">
        <v>0</v>
      </c>
      <c r="AY33" s="409">
        <v>0</v>
      </c>
      <c r="AZ33" s="409">
        <v>0</v>
      </c>
      <c r="BA33" s="409"/>
      <c r="BB33" s="409">
        <v>0</v>
      </c>
      <c r="BC33" s="409">
        <v>0</v>
      </c>
      <c r="BD33" s="409">
        <v>0</v>
      </c>
      <c r="BE33" s="409">
        <v>0</v>
      </c>
      <c r="BF33" s="409">
        <v>0</v>
      </c>
      <c r="BG33" s="409">
        <v>1980.1691804088073</v>
      </c>
      <c r="BH33" s="409">
        <v>0</v>
      </c>
      <c r="BI33" s="409">
        <v>0</v>
      </c>
      <c r="BJ33" s="409">
        <v>0</v>
      </c>
      <c r="BK33" s="409">
        <v>0</v>
      </c>
      <c r="BL33" s="409">
        <v>145</v>
      </c>
      <c r="BM33" s="409"/>
      <c r="BN33" s="409"/>
      <c r="BO33" s="409"/>
      <c r="BP33" s="409"/>
      <c r="BQ33" s="409"/>
      <c r="BR33" s="409"/>
      <c r="BS33" s="409"/>
      <c r="BT33" s="409">
        <v>28316.034900000002</v>
      </c>
      <c r="BU33" s="409"/>
      <c r="BV33" s="409">
        <v>16576.102251140248</v>
      </c>
      <c r="BW33" s="409"/>
      <c r="BX33" s="409"/>
      <c r="BY33" s="409"/>
      <c r="BZ33" s="409"/>
      <c r="CA33" s="409"/>
      <c r="CB33" s="409"/>
      <c r="CC33" s="409"/>
      <c r="CD33" s="409"/>
      <c r="CE33" s="409"/>
      <c r="CF33" s="409"/>
      <c r="CG33" s="409"/>
      <c r="CH33" s="409"/>
      <c r="CI33" s="409">
        <v>15247.372500000001</v>
      </c>
      <c r="CJ33" s="409">
        <v>-1657.0010999999977</v>
      </c>
      <c r="CK33" s="409"/>
      <c r="CL33" s="409"/>
      <c r="CM33" s="409"/>
      <c r="CN33" s="409"/>
      <c r="CO33" s="409">
        <v>-5240.7783000000027</v>
      </c>
      <c r="CP33" s="409">
        <v>507.34620000000047</v>
      </c>
      <c r="CQ33" s="409">
        <v>30</v>
      </c>
      <c r="CR33" s="409">
        <v>903.31646611042379</v>
      </c>
      <c r="CS33" s="409">
        <v>0</v>
      </c>
      <c r="CT33" s="409">
        <v>0</v>
      </c>
      <c r="CU33" s="409">
        <v>0</v>
      </c>
      <c r="CV33" s="409">
        <v>0</v>
      </c>
      <c r="CW33" s="409">
        <v>0</v>
      </c>
      <c r="CX33" s="409">
        <v>0</v>
      </c>
      <c r="CY33" s="409">
        <v>0</v>
      </c>
      <c r="CZ33" s="409">
        <v>263.47762651252651</v>
      </c>
      <c r="DA33" s="409">
        <v>0</v>
      </c>
      <c r="DB33" s="409">
        <v>0</v>
      </c>
      <c r="DC33" s="409">
        <v>668.63833293764583</v>
      </c>
      <c r="DD33" s="409">
        <v>0</v>
      </c>
      <c r="DE33" s="409">
        <v>0</v>
      </c>
      <c r="DF33" s="409">
        <v>0</v>
      </c>
      <c r="DG33" s="409">
        <v>90.711365508929703</v>
      </c>
      <c r="DH33" s="409">
        <v>0</v>
      </c>
      <c r="DI33" s="409">
        <v>0</v>
      </c>
      <c r="DJ33" s="409"/>
      <c r="DK33" s="409">
        <v>0</v>
      </c>
      <c r="DL33" s="409">
        <v>0</v>
      </c>
      <c r="DM33" s="409">
        <v>0</v>
      </c>
      <c r="DN33" s="409">
        <v>0</v>
      </c>
      <c r="DO33" s="409">
        <v>0</v>
      </c>
      <c r="DP33" s="409">
        <v>-6.0647343750681983</v>
      </c>
      <c r="DQ33" s="409">
        <v>0</v>
      </c>
      <c r="DR33" s="409">
        <v>-113.44612447361182</v>
      </c>
      <c r="DS33" s="409"/>
      <c r="DT33" s="409"/>
      <c r="DU33" s="409"/>
      <c r="DV33" s="409">
        <v>24590.010330028232</v>
      </c>
      <c r="DW33" s="409">
        <v>0</v>
      </c>
      <c r="DX33" s="409">
        <v>0</v>
      </c>
      <c r="DY33" s="409">
        <v>-5240.7783000000054</v>
      </c>
      <c r="DZ33" s="409">
        <v>507.34619999999995</v>
      </c>
      <c r="EA33" s="409">
        <v>0</v>
      </c>
      <c r="EB33" s="409">
        <v>0</v>
      </c>
      <c r="EC33" s="409">
        <v>-5636.6085879743332</v>
      </c>
      <c r="ED33" s="409">
        <v>0</v>
      </c>
      <c r="EE33" s="409">
        <v>0</v>
      </c>
      <c r="EF33" s="409">
        <v>0</v>
      </c>
      <c r="EG33" s="409">
        <v>0</v>
      </c>
      <c r="EH33" s="409">
        <v>0</v>
      </c>
      <c r="EI33" s="409">
        <v>0</v>
      </c>
      <c r="EJ33" s="409">
        <v>0</v>
      </c>
      <c r="EK33" s="409">
        <v>0</v>
      </c>
      <c r="EL33" s="409">
        <v>0</v>
      </c>
      <c r="EM33" s="409">
        <v>0</v>
      </c>
      <c r="EN33" s="409">
        <v>0</v>
      </c>
      <c r="EO33" s="409">
        <v>0</v>
      </c>
      <c r="EP33" s="409">
        <v>0</v>
      </c>
      <c r="EQ33" s="409">
        <v>0</v>
      </c>
      <c r="ER33" s="409">
        <v>0</v>
      </c>
      <c r="ES33" s="409">
        <v>0</v>
      </c>
      <c r="ET33" s="409">
        <v>0</v>
      </c>
      <c r="EU33" s="409">
        <v>0</v>
      </c>
      <c r="EV33" s="409">
        <v>254</v>
      </c>
      <c r="EW33" s="409">
        <v>0</v>
      </c>
      <c r="EX33" s="409">
        <v>0</v>
      </c>
      <c r="EY33" s="409">
        <v>0</v>
      </c>
      <c r="EZ33" s="409"/>
      <c r="FA33" s="409">
        <v>0</v>
      </c>
      <c r="FB33" s="409"/>
      <c r="FC33" s="409"/>
      <c r="FD33" s="409"/>
      <c r="FE33" s="409"/>
      <c r="FF33" s="409">
        <v>0</v>
      </c>
      <c r="FG33" s="409">
        <v>0</v>
      </c>
      <c r="FH33" s="409">
        <v>0</v>
      </c>
      <c r="FI33" s="409">
        <v>0</v>
      </c>
    </row>
    <row r="34" spans="1:165" customFormat="1">
      <c r="A34" s="409">
        <v>32</v>
      </c>
      <c r="B34" s="409" t="s">
        <v>1035</v>
      </c>
      <c r="C34" s="409" t="s">
        <v>2244</v>
      </c>
      <c r="D34" s="409" t="s">
        <v>1991</v>
      </c>
      <c r="E34" s="409" t="s">
        <v>968</v>
      </c>
      <c r="F34" s="409" t="s">
        <v>2248</v>
      </c>
      <c r="G34" s="409" t="s">
        <v>1323</v>
      </c>
      <c r="H34" s="409" t="s">
        <v>1323</v>
      </c>
      <c r="I34" s="409" t="s">
        <v>1323</v>
      </c>
      <c r="J34" s="409" t="s">
        <v>2245</v>
      </c>
      <c r="K34" s="835">
        <v>44348</v>
      </c>
      <c r="L34" s="409">
        <v>0</v>
      </c>
      <c r="M34" s="409">
        <v>0</v>
      </c>
      <c r="N34" s="409">
        <v>89.388000000000005</v>
      </c>
      <c r="O34" s="409">
        <v>89.388000000000005</v>
      </c>
      <c r="P34" s="409">
        <v>89.388000000000005</v>
      </c>
      <c r="Q34" s="409">
        <v>89.388000000000005</v>
      </c>
      <c r="R34" s="409"/>
      <c r="S34" s="409">
        <v>561.96</v>
      </c>
      <c r="T34" s="409">
        <v>243.39</v>
      </c>
      <c r="U34" s="409"/>
      <c r="V34" s="409">
        <v>71988.625800000009</v>
      </c>
      <c r="W34" s="409">
        <v>71988.625800000009</v>
      </c>
      <c r="X34" s="409">
        <v>64933.230960000001</v>
      </c>
      <c r="Y34" s="409">
        <v>0</v>
      </c>
      <c r="Z34" s="409">
        <v>0</v>
      </c>
      <c r="AA34" s="409">
        <v>0</v>
      </c>
      <c r="AB34" s="409">
        <v>0</v>
      </c>
      <c r="AC34" s="409">
        <v>0</v>
      </c>
      <c r="AD34" s="409">
        <v>10475.296196728266</v>
      </c>
      <c r="AE34" s="409">
        <v>36652.523651501811</v>
      </c>
      <c r="AF34" s="409">
        <v>21755.89903829485</v>
      </c>
      <c r="AG34" s="409">
        <v>0</v>
      </c>
      <c r="AH34" s="409">
        <v>0</v>
      </c>
      <c r="AI34" s="409">
        <v>0</v>
      </c>
      <c r="AJ34" s="409">
        <v>0</v>
      </c>
      <c r="AK34" s="409">
        <v>0</v>
      </c>
      <c r="AL34" s="409">
        <v>0</v>
      </c>
      <c r="AM34" s="409"/>
      <c r="AN34" s="409">
        <v>153.4677025050118</v>
      </c>
      <c r="AO34" s="409">
        <v>0</v>
      </c>
      <c r="AP34" s="409">
        <v>0</v>
      </c>
      <c r="AQ34" s="409">
        <v>0</v>
      </c>
      <c r="AR34" s="409">
        <v>0</v>
      </c>
      <c r="AS34" s="409">
        <v>0</v>
      </c>
      <c r="AT34" s="409">
        <v>0</v>
      </c>
      <c r="AU34" s="409">
        <v>0</v>
      </c>
      <c r="AV34" s="409">
        <v>0</v>
      </c>
      <c r="AW34" s="409">
        <v>0</v>
      </c>
      <c r="AX34" s="409">
        <v>0</v>
      </c>
      <c r="AY34" s="409">
        <v>0</v>
      </c>
      <c r="AZ34" s="409">
        <v>0</v>
      </c>
      <c r="BA34" s="409"/>
      <c r="BB34" s="409">
        <v>0</v>
      </c>
      <c r="BC34" s="409">
        <v>0</v>
      </c>
      <c r="BD34" s="409">
        <v>0</v>
      </c>
      <c r="BE34" s="409">
        <v>0</v>
      </c>
      <c r="BF34" s="409">
        <v>0</v>
      </c>
      <c r="BG34" s="409">
        <v>2951.5318108784809</v>
      </c>
      <c r="BH34" s="409">
        <v>0</v>
      </c>
      <c r="BI34" s="409">
        <v>0</v>
      </c>
      <c r="BJ34" s="409">
        <v>0</v>
      </c>
      <c r="BK34" s="409">
        <v>0</v>
      </c>
      <c r="BL34" s="409">
        <v>1243</v>
      </c>
      <c r="BM34" s="409"/>
      <c r="BN34" s="409"/>
      <c r="BO34" s="409"/>
      <c r="BP34" s="409"/>
      <c r="BQ34" s="409"/>
      <c r="BR34" s="409"/>
      <c r="BS34" s="409"/>
      <c r="BT34" s="409">
        <v>25973.471160000001</v>
      </c>
      <c r="BU34" s="409"/>
      <c r="BV34" s="409">
        <v>24707.430849173332</v>
      </c>
      <c r="BW34" s="409"/>
      <c r="BX34" s="409"/>
      <c r="BY34" s="409"/>
      <c r="BZ34" s="409"/>
      <c r="CA34" s="409"/>
      <c r="CB34" s="409"/>
      <c r="CC34" s="409"/>
      <c r="CD34" s="409"/>
      <c r="CE34" s="409"/>
      <c r="CF34" s="409"/>
      <c r="CG34" s="409"/>
      <c r="CH34" s="409"/>
      <c r="CI34" s="409">
        <v>38960.631500000003</v>
      </c>
      <c r="CJ34" s="409">
        <v>-4232.573980000001</v>
      </c>
      <c r="CK34" s="409"/>
      <c r="CL34" s="409"/>
      <c r="CM34" s="409"/>
      <c r="CN34" s="409"/>
      <c r="CO34" s="409">
        <v>-7811.6173200000039</v>
      </c>
      <c r="CP34" s="409">
        <v>756.2224800000007</v>
      </c>
      <c r="CQ34" s="409">
        <v>30</v>
      </c>
      <c r="CR34" s="409">
        <v>1346.4340882554316</v>
      </c>
      <c r="CS34" s="409">
        <v>0</v>
      </c>
      <c r="CT34" s="409">
        <v>0</v>
      </c>
      <c r="CU34" s="409">
        <v>0</v>
      </c>
      <c r="CV34" s="409">
        <v>0</v>
      </c>
      <c r="CW34" s="409">
        <v>0</v>
      </c>
      <c r="CX34" s="409">
        <v>0</v>
      </c>
      <c r="CY34" s="409">
        <v>0</v>
      </c>
      <c r="CZ34" s="409">
        <v>392.72533064368326</v>
      </c>
      <c r="DA34" s="409">
        <v>0</v>
      </c>
      <c r="DB34" s="409">
        <v>0</v>
      </c>
      <c r="DC34" s="409">
        <v>996.63570626363799</v>
      </c>
      <c r="DD34" s="409">
        <v>0</v>
      </c>
      <c r="DE34" s="409">
        <v>0</v>
      </c>
      <c r="DF34" s="409">
        <v>0</v>
      </c>
      <c r="DG34" s="409">
        <v>135.20939703372051</v>
      </c>
      <c r="DH34" s="409">
        <v>0</v>
      </c>
      <c r="DI34" s="409">
        <v>0</v>
      </c>
      <c r="DJ34" s="409"/>
      <c r="DK34" s="409">
        <v>0</v>
      </c>
      <c r="DL34" s="409">
        <v>0</v>
      </c>
      <c r="DM34" s="409">
        <v>0</v>
      </c>
      <c r="DN34" s="409">
        <v>0</v>
      </c>
      <c r="DO34" s="409">
        <v>0</v>
      </c>
      <c r="DP34" s="409">
        <v>-9.0397611525528703</v>
      </c>
      <c r="DQ34" s="409">
        <v>0</v>
      </c>
      <c r="DR34" s="409">
        <v>-169.09658453305343</v>
      </c>
      <c r="DS34" s="409"/>
      <c r="DT34" s="409"/>
      <c r="DU34" s="409"/>
      <c r="DV34" s="409">
        <v>36652.523651501811</v>
      </c>
      <c r="DW34" s="409">
        <v>0</v>
      </c>
      <c r="DX34" s="409">
        <v>0</v>
      </c>
      <c r="DY34" s="409">
        <v>-7811.6173200000048</v>
      </c>
      <c r="DZ34" s="409">
        <v>756.22248000000036</v>
      </c>
      <c r="EA34" s="409">
        <v>0</v>
      </c>
      <c r="EB34" s="409">
        <v>0</v>
      </c>
      <c r="EC34" s="409">
        <v>-8401.6202845064145</v>
      </c>
      <c r="ED34" s="409">
        <v>0</v>
      </c>
      <c r="EE34" s="409">
        <v>0</v>
      </c>
      <c r="EF34" s="409">
        <v>0</v>
      </c>
      <c r="EG34" s="409">
        <v>0</v>
      </c>
      <c r="EH34" s="409">
        <v>0</v>
      </c>
      <c r="EI34" s="409">
        <v>0</v>
      </c>
      <c r="EJ34" s="409">
        <v>0</v>
      </c>
      <c r="EK34" s="409">
        <v>0</v>
      </c>
      <c r="EL34" s="409">
        <v>0</v>
      </c>
      <c r="EM34" s="409">
        <v>0</v>
      </c>
      <c r="EN34" s="409">
        <v>0</v>
      </c>
      <c r="EO34" s="409">
        <v>0</v>
      </c>
      <c r="EP34" s="409">
        <v>0</v>
      </c>
      <c r="EQ34" s="409">
        <v>0</v>
      </c>
      <c r="ER34" s="409">
        <v>0</v>
      </c>
      <c r="ES34" s="409">
        <v>0</v>
      </c>
      <c r="ET34" s="409">
        <v>0</v>
      </c>
      <c r="EU34" s="409">
        <v>0</v>
      </c>
      <c r="EV34" s="409">
        <v>254</v>
      </c>
      <c r="EW34" s="409">
        <v>0</v>
      </c>
      <c r="EX34" s="409">
        <v>0</v>
      </c>
      <c r="EY34" s="409">
        <v>0</v>
      </c>
      <c r="EZ34" s="409"/>
      <c r="FA34" s="409">
        <v>0</v>
      </c>
      <c r="FB34" s="409"/>
      <c r="FC34" s="409"/>
      <c r="FD34" s="409"/>
      <c r="FE34" s="409"/>
      <c r="FF34" s="409">
        <v>0</v>
      </c>
      <c r="FG34" s="409">
        <v>0</v>
      </c>
      <c r="FH34" s="409">
        <v>0</v>
      </c>
      <c r="FI34" s="409">
        <v>0</v>
      </c>
    </row>
    <row r="35" spans="1:165" customFormat="1">
      <c r="A35" s="409">
        <v>33</v>
      </c>
      <c r="B35" s="409" t="s">
        <v>1035</v>
      </c>
      <c r="C35" s="409" t="s">
        <v>2244</v>
      </c>
      <c r="D35" s="409" t="s">
        <v>1991</v>
      </c>
      <c r="E35" s="409" t="s">
        <v>968</v>
      </c>
      <c r="F35" s="409" t="s">
        <v>2249</v>
      </c>
      <c r="G35" s="409" t="s">
        <v>1323</v>
      </c>
      <c r="H35" s="409" t="s">
        <v>1323</v>
      </c>
      <c r="I35" s="409" t="s">
        <v>1323</v>
      </c>
      <c r="J35" s="409" t="s">
        <v>2245</v>
      </c>
      <c r="K35" s="835">
        <v>44348</v>
      </c>
      <c r="L35" s="409">
        <v>0</v>
      </c>
      <c r="M35" s="409">
        <v>0</v>
      </c>
      <c r="N35" s="409">
        <v>25.992000000000001</v>
      </c>
      <c r="O35" s="409">
        <v>25.992000000000001</v>
      </c>
      <c r="P35" s="409">
        <v>25.992000000000001</v>
      </c>
      <c r="Q35" s="409">
        <v>25.992000000000001</v>
      </c>
      <c r="R35" s="409"/>
      <c r="S35" s="409">
        <v>561.96</v>
      </c>
      <c r="T35" s="409">
        <v>243.39</v>
      </c>
      <c r="U35" s="409"/>
      <c r="V35" s="409">
        <v>20932.657200000001</v>
      </c>
      <c r="W35" s="409">
        <v>20932.657200000001</v>
      </c>
      <c r="X35" s="409">
        <v>18881.108640000002</v>
      </c>
      <c r="Y35" s="409">
        <v>0</v>
      </c>
      <c r="Z35" s="409">
        <v>0</v>
      </c>
      <c r="AA35" s="409">
        <v>0</v>
      </c>
      <c r="AB35" s="409">
        <v>0</v>
      </c>
      <c r="AC35" s="409">
        <v>0</v>
      </c>
      <c r="AD35" s="409">
        <v>3045.9781933297659</v>
      </c>
      <c r="AE35" s="409">
        <v>10657.72133563605</v>
      </c>
      <c r="AF35" s="409">
        <v>6326.1212668742983</v>
      </c>
      <c r="AG35" s="409">
        <v>0</v>
      </c>
      <c r="AH35" s="409">
        <v>0</v>
      </c>
      <c r="AI35" s="409">
        <v>0</v>
      </c>
      <c r="AJ35" s="409">
        <v>0</v>
      </c>
      <c r="AK35" s="409">
        <v>0</v>
      </c>
      <c r="AL35" s="409">
        <v>0</v>
      </c>
      <c r="AM35" s="409"/>
      <c r="AN35" s="409">
        <v>44.624921952725941</v>
      </c>
      <c r="AO35" s="409">
        <v>0</v>
      </c>
      <c r="AP35" s="409">
        <v>0</v>
      </c>
      <c r="AQ35" s="409">
        <v>0</v>
      </c>
      <c r="AR35" s="409">
        <v>0</v>
      </c>
      <c r="AS35" s="409">
        <v>0</v>
      </c>
      <c r="AT35" s="409">
        <v>0</v>
      </c>
      <c r="AU35" s="409">
        <v>0</v>
      </c>
      <c r="AV35" s="409">
        <v>0</v>
      </c>
      <c r="AW35" s="409">
        <v>0</v>
      </c>
      <c r="AX35" s="409">
        <v>0</v>
      </c>
      <c r="AY35" s="409">
        <v>0</v>
      </c>
      <c r="AZ35" s="409">
        <v>0</v>
      </c>
      <c r="BA35" s="409"/>
      <c r="BB35" s="409">
        <v>0</v>
      </c>
      <c r="BC35" s="409">
        <v>0</v>
      </c>
      <c r="BD35" s="409">
        <v>0</v>
      </c>
      <c r="BE35" s="409">
        <v>0</v>
      </c>
      <c r="BF35" s="409">
        <v>0</v>
      </c>
      <c r="BG35" s="409">
        <v>858.23840815717404</v>
      </c>
      <c r="BH35" s="409">
        <v>0</v>
      </c>
      <c r="BI35" s="409">
        <v>0</v>
      </c>
      <c r="BJ35" s="409">
        <v>0</v>
      </c>
      <c r="BK35" s="409">
        <v>0</v>
      </c>
      <c r="BL35" s="409">
        <v>560</v>
      </c>
      <c r="BM35" s="409"/>
      <c r="BN35" s="409"/>
      <c r="BO35" s="409"/>
      <c r="BP35" s="409"/>
      <c r="BQ35" s="409"/>
      <c r="BR35" s="409"/>
      <c r="BS35" s="409"/>
      <c r="BT35" s="409">
        <v>1888.0588799999998</v>
      </c>
      <c r="BU35" s="409"/>
      <c r="BV35" s="409">
        <v>7184.3596750314719</v>
      </c>
      <c r="BW35" s="409"/>
      <c r="BX35" s="409"/>
      <c r="BY35" s="409"/>
      <c r="BZ35" s="409"/>
      <c r="CA35" s="409"/>
      <c r="CB35" s="409"/>
      <c r="CC35" s="409"/>
      <c r="CD35" s="409"/>
      <c r="CE35" s="409"/>
      <c r="CF35" s="409"/>
      <c r="CG35" s="409"/>
      <c r="CH35" s="409"/>
      <c r="CI35" s="409">
        <v>16991.742199999997</v>
      </c>
      <c r="CJ35" s="409">
        <v>-1847.8092400000023</v>
      </c>
      <c r="CK35" s="409"/>
      <c r="CL35" s="409"/>
      <c r="CM35" s="409"/>
      <c r="CN35" s="409"/>
      <c r="CO35" s="409">
        <v>-2271.440880000001</v>
      </c>
      <c r="CP35" s="409">
        <v>219.89232000000021</v>
      </c>
      <c r="CQ35" s="409">
        <v>30</v>
      </c>
      <c r="CR35" s="409">
        <v>391.51244934370698</v>
      </c>
      <c r="CS35" s="409">
        <v>0</v>
      </c>
      <c r="CT35" s="409">
        <v>0</v>
      </c>
      <c r="CU35" s="409">
        <v>0</v>
      </c>
      <c r="CV35" s="409">
        <v>0</v>
      </c>
      <c r="CW35" s="409">
        <v>0</v>
      </c>
      <c r="CX35" s="409">
        <v>0</v>
      </c>
      <c r="CY35" s="409">
        <v>0</v>
      </c>
      <c r="CZ35" s="409">
        <v>114.19560560803029</v>
      </c>
      <c r="DA35" s="409">
        <v>0</v>
      </c>
      <c r="DB35" s="409">
        <v>0</v>
      </c>
      <c r="DC35" s="409">
        <v>289.79902534125904</v>
      </c>
      <c r="DD35" s="409">
        <v>0</v>
      </c>
      <c r="DE35" s="409">
        <v>0</v>
      </c>
      <c r="DF35" s="409">
        <v>0</v>
      </c>
      <c r="DG35" s="409">
        <v>39.315821449192981</v>
      </c>
      <c r="DH35" s="409">
        <v>0</v>
      </c>
      <c r="DI35" s="409">
        <v>0</v>
      </c>
      <c r="DJ35" s="409"/>
      <c r="DK35" s="409">
        <v>0</v>
      </c>
      <c r="DL35" s="409">
        <v>0</v>
      </c>
      <c r="DM35" s="409">
        <v>0</v>
      </c>
      <c r="DN35" s="409">
        <v>0</v>
      </c>
      <c r="DO35" s="409">
        <v>0</v>
      </c>
      <c r="DP35" s="409">
        <v>-2.6285572098844838</v>
      </c>
      <c r="DQ35" s="409">
        <v>0</v>
      </c>
      <c r="DR35" s="409">
        <v>-49.169445844891086</v>
      </c>
      <c r="DS35" s="409"/>
      <c r="DT35" s="409"/>
      <c r="DU35" s="409"/>
      <c r="DV35" s="409">
        <v>10657.72133563605</v>
      </c>
      <c r="DW35" s="409">
        <v>0</v>
      </c>
      <c r="DX35" s="409">
        <v>0</v>
      </c>
      <c r="DY35" s="409">
        <v>-2271.4408800000001</v>
      </c>
      <c r="DZ35" s="409">
        <v>219.89232000000084</v>
      </c>
      <c r="EA35" s="409">
        <v>0</v>
      </c>
      <c r="EB35" s="409">
        <v>0</v>
      </c>
      <c r="EC35" s="409">
        <v>-2443.000340480723</v>
      </c>
      <c r="ED35" s="409">
        <v>0</v>
      </c>
      <c r="EE35" s="409">
        <v>0</v>
      </c>
      <c r="EF35" s="409">
        <v>0</v>
      </c>
      <c r="EG35" s="409">
        <v>0</v>
      </c>
      <c r="EH35" s="409">
        <v>0</v>
      </c>
      <c r="EI35" s="409">
        <v>0</v>
      </c>
      <c r="EJ35" s="409">
        <v>0</v>
      </c>
      <c r="EK35" s="409">
        <v>0</v>
      </c>
      <c r="EL35" s="409">
        <v>0</v>
      </c>
      <c r="EM35" s="409">
        <v>0</v>
      </c>
      <c r="EN35" s="409">
        <v>0</v>
      </c>
      <c r="EO35" s="409">
        <v>0</v>
      </c>
      <c r="EP35" s="409">
        <v>0</v>
      </c>
      <c r="EQ35" s="409">
        <v>0</v>
      </c>
      <c r="ER35" s="409">
        <v>0</v>
      </c>
      <c r="ES35" s="409">
        <v>0</v>
      </c>
      <c r="ET35" s="409">
        <v>0</v>
      </c>
      <c r="EU35" s="409">
        <v>0</v>
      </c>
      <c r="EV35" s="409">
        <v>254</v>
      </c>
      <c r="EW35" s="409">
        <v>0</v>
      </c>
      <c r="EX35" s="409">
        <v>0</v>
      </c>
      <c r="EY35" s="409">
        <v>0</v>
      </c>
      <c r="EZ35" s="409"/>
      <c r="FA35" s="409">
        <v>0</v>
      </c>
      <c r="FB35" s="409"/>
      <c r="FC35" s="409"/>
      <c r="FD35" s="409"/>
      <c r="FE35" s="409"/>
      <c r="FF35" s="409">
        <v>0</v>
      </c>
      <c r="FG35" s="409">
        <v>0</v>
      </c>
      <c r="FH35" s="409">
        <v>0</v>
      </c>
      <c r="FI35" s="409">
        <v>0</v>
      </c>
    </row>
    <row r="36" spans="1:165" customFormat="1">
      <c r="A36" s="409">
        <v>34</v>
      </c>
      <c r="B36" s="409" t="s">
        <v>1035</v>
      </c>
      <c r="C36" s="409" t="s">
        <v>2244</v>
      </c>
      <c r="D36" s="409" t="s">
        <v>1991</v>
      </c>
      <c r="E36" s="409" t="s">
        <v>968</v>
      </c>
      <c r="F36" s="409" t="s">
        <v>2250</v>
      </c>
      <c r="G36" s="409" t="s">
        <v>1323</v>
      </c>
      <c r="H36" s="409" t="s">
        <v>1323</v>
      </c>
      <c r="I36" s="409" t="s">
        <v>1323</v>
      </c>
      <c r="J36" s="409" t="s">
        <v>2245</v>
      </c>
      <c r="K36" s="835">
        <v>44348</v>
      </c>
      <c r="L36" s="409">
        <v>0</v>
      </c>
      <c r="M36" s="409">
        <v>0</v>
      </c>
      <c r="N36" s="409">
        <v>5.9880000000000004</v>
      </c>
      <c r="O36" s="409">
        <v>5.9880000000000004</v>
      </c>
      <c r="P36" s="409">
        <v>5.9880000000000004</v>
      </c>
      <c r="Q36" s="409">
        <v>5.9880000000000004</v>
      </c>
      <c r="R36" s="409"/>
      <c r="S36" s="409">
        <v>561.96</v>
      </c>
      <c r="T36" s="409">
        <v>243.39</v>
      </c>
      <c r="U36" s="409"/>
      <c r="V36" s="409">
        <v>4822.4358000000011</v>
      </c>
      <c r="W36" s="409">
        <v>4822.4358000000011</v>
      </c>
      <c r="X36" s="409">
        <v>4349.80296</v>
      </c>
      <c r="Y36" s="409">
        <v>0</v>
      </c>
      <c r="Z36" s="409">
        <v>0</v>
      </c>
      <c r="AA36" s="409">
        <v>0</v>
      </c>
      <c r="AB36" s="409">
        <v>0</v>
      </c>
      <c r="AC36" s="409">
        <v>0</v>
      </c>
      <c r="AD36" s="409">
        <v>701.72812487144654</v>
      </c>
      <c r="AE36" s="409">
        <v>2455.3106862799577</v>
      </c>
      <c r="AF36" s="409">
        <v>1457.4028218699329</v>
      </c>
      <c r="AG36" s="409">
        <v>0</v>
      </c>
      <c r="AH36" s="409">
        <v>0</v>
      </c>
      <c r="AI36" s="409">
        <v>0</v>
      </c>
      <c r="AJ36" s="409">
        <v>0</v>
      </c>
      <c r="AK36" s="409">
        <v>0</v>
      </c>
      <c r="AL36" s="409">
        <v>0</v>
      </c>
      <c r="AM36" s="409"/>
      <c r="AN36" s="409">
        <v>10.280626063901314</v>
      </c>
      <c r="AO36" s="409">
        <v>0</v>
      </c>
      <c r="AP36" s="409">
        <v>0</v>
      </c>
      <c r="AQ36" s="409">
        <v>0</v>
      </c>
      <c r="AR36" s="409">
        <v>0</v>
      </c>
      <c r="AS36" s="409">
        <v>0</v>
      </c>
      <c r="AT36" s="409">
        <v>0</v>
      </c>
      <c r="AU36" s="409">
        <v>0</v>
      </c>
      <c r="AV36" s="409">
        <v>0</v>
      </c>
      <c r="AW36" s="409">
        <v>0</v>
      </c>
      <c r="AX36" s="409">
        <v>0</v>
      </c>
      <c r="AY36" s="409">
        <v>0</v>
      </c>
      <c r="AZ36" s="409">
        <v>0</v>
      </c>
      <c r="BA36" s="409"/>
      <c r="BB36" s="409">
        <v>0</v>
      </c>
      <c r="BC36" s="409">
        <v>0</v>
      </c>
      <c r="BD36" s="409">
        <v>0</v>
      </c>
      <c r="BE36" s="409">
        <v>0</v>
      </c>
      <c r="BF36" s="409">
        <v>0</v>
      </c>
      <c r="BG36" s="409">
        <v>197.7197440768374</v>
      </c>
      <c r="BH36" s="409">
        <v>0</v>
      </c>
      <c r="BI36" s="409">
        <v>46.16</v>
      </c>
      <c r="BJ36" s="409">
        <v>212.67</v>
      </c>
      <c r="BK36" s="409">
        <v>945.99</v>
      </c>
      <c r="BL36" s="409">
        <v>51</v>
      </c>
      <c r="BM36" s="409"/>
      <c r="BN36" s="409"/>
      <c r="BO36" s="409"/>
      <c r="BP36" s="409"/>
      <c r="BQ36" s="409"/>
      <c r="BR36" s="409"/>
      <c r="BS36" s="409"/>
      <c r="BT36" s="409"/>
      <c r="BU36" s="409"/>
      <c r="BV36" s="409">
        <v>1655.1225659467705</v>
      </c>
      <c r="BW36" s="409"/>
      <c r="BX36" s="409"/>
      <c r="BY36" s="409"/>
      <c r="BZ36" s="409"/>
      <c r="CA36" s="409"/>
      <c r="CB36" s="409"/>
      <c r="CC36" s="409"/>
      <c r="CD36" s="409"/>
      <c r="CE36" s="409"/>
      <c r="CF36" s="409"/>
      <c r="CG36" s="409"/>
      <c r="CH36" s="409"/>
      <c r="CI36" s="409">
        <v>4351.2557999999999</v>
      </c>
      <c r="CJ36" s="409">
        <v>-471.21000000000186</v>
      </c>
      <c r="CK36" s="409"/>
      <c r="CL36" s="409"/>
      <c r="CM36" s="409"/>
      <c r="CN36" s="409"/>
      <c r="CO36" s="409">
        <v>-523.29132000000027</v>
      </c>
      <c r="CP36" s="409">
        <v>50.658480000000054</v>
      </c>
      <c r="CQ36" s="409">
        <v>30</v>
      </c>
      <c r="CR36" s="409">
        <v>90.196081358499214</v>
      </c>
      <c r="CS36" s="409">
        <v>0</v>
      </c>
      <c r="CT36" s="409">
        <v>0</v>
      </c>
      <c r="CU36" s="409">
        <v>0</v>
      </c>
      <c r="CV36" s="409">
        <v>0</v>
      </c>
      <c r="CW36" s="409">
        <v>0</v>
      </c>
      <c r="CX36" s="409">
        <v>0</v>
      </c>
      <c r="CY36" s="409">
        <v>0</v>
      </c>
      <c r="CZ36" s="409">
        <v>26.308221236568329</v>
      </c>
      <c r="DA36" s="409">
        <v>0</v>
      </c>
      <c r="DB36" s="409">
        <v>0</v>
      </c>
      <c r="DC36" s="409">
        <v>66.763487370862549</v>
      </c>
      <c r="DD36" s="409">
        <v>0</v>
      </c>
      <c r="DE36" s="409">
        <v>0</v>
      </c>
      <c r="DF36" s="409">
        <v>0</v>
      </c>
      <c r="DG36" s="409">
        <v>9.0575230393108654</v>
      </c>
      <c r="DH36" s="409">
        <v>0</v>
      </c>
      <c r="DI36" s="409">
        <v>0</v>
      </c>
      <c r="DJ36" s="409"/>
      <c r="DK36" s="409">
        <v>0</v>
      </c>
      <c r="DL36" s="409">
        <v>0</v>
      </c>
      <c r="DM36" s="409">
        <v>0</v>
      </c>
      <c r="DN36" s="409">
        <v>0</v>
      </c>
      <c r="DO36" s="409">
        <v>0</v>
      </c>
      <c r="DP36" s="409">
        <v>-0.60556327226793982</v>
      </c>
      <c r="DQ36" s="409">
        <v>0</v>
      </c>
      <c r="DR36" s="409">
        <v>-11.327587015974448</v>
      </c>
      <c r="DS36" s="409"/>
      <c r="DT36" s="409"/>
      <c r="DU36" s="409"/>
      <c r="DV36" s="409">
        <v>2455.3106862799577</v>
      </c>
      <c r="DW36" s="409">
        <v>0</v>
      </c>
      <c r="DX36" s="409">
        <v>0</v>
      </c>
      <c r="DY36" s="409">
        <v>-523.29132000000072</v>
      </c>
      <c r="DZ36" s="409">
        <v>50.658480000000054</v>
      </c>
      <c r="EA36" s="409">
        <v>0</v>
      </c>
      <c r="EB36" s="409">
        <v>0</v>
      </c>
      <c r="EC36" s="409">
        <v>-562.81494455211464</v>
      </c>
      <c r="ED36" s="409">
        <v>0</v>
      </c>
      <c r="EE36" s="409">
        <v>0</v>
      </c>
      <c r="EF36" s="409">
        <v>0</v>
      </c>
      <c r="EG36" s="409">
        <v>0</v>
      </c>
      <c r="EH36" s="409">
        <v>0</v>
      </c>
      <c r="EI36" s="409">
        <v>0</v>
      </c>
      <c r="EJ36" s="409">
        <v>0</v>
      </c>
      <c r="EK36" s="409">
        <v>0</v>
      </c>
      <c r="EL36" s="409">
        <v>0</v>
      </c>
      <c r="EM36" s="409">
        <v>0</v>
      </c>
      <c r="EN36" s="409">
        <v>0</v>
      </c>
      <c r="EO36" s="409">
        <v>0</v>
      </c>
      <c r="EP36" s="409">
        <v>0</v>
      </c>
      <c r="EQ36" s="409">
        <v>0</v>
      </c>
      <c r="ER36" s="409">
        <v>0</v>
      </c>
      <c r="ES36" s="409">
        <v>0</v>
      </c>
      <c r="ET36" s="409">
        <v>0</v>
      </c>
      <c r="EU36" s="409">
        <v>0</v>
      </c>
      <c r="EV36" s="409">
        <v>254</v>
      </c>
      <c r="EW36" s="409">
        <v>0</v>
      </c>
      <c r="EX36" s="409">
        <v>0</v>
      </c>
      <c r="EY36" s="409">
        <v>0</v>
      </c>
      <c r="EZ36" s="409"/>
      <c r="FA36" s="409">
        <v>0</v>
      </c>
      <c r="FB36" s="409"/>
      <c r="FC36" s="409"/>
      <c r="FD36" s="409"/>
      <c r="FE36" s="409"/>
      <c r="FF36" s="409">
        <v>0</v>
      </c>
      <c r="FG36" s="409">
        <v>0</v>
      </c>
      <c r="FH36" s="409">
        <v>0</v>
      </c>
      <c r="FI36" s="409">
        <v>0</v>
      </c>
    </row>
    <row r="37" spans="1:165" customFormat="1">
      <c r="A37" s="409">
        <v>35</v>
      </c>
      <c r="B37" s="409" t="s">
        <v>1035</v>
      </c>
      <c r="C37" s="409" t="s">
        <v>2244</v>
      </c>
      <c r="D37" s="409" t="s">
        <v>1994</v>
      </c>
      <c r="E37" s="409" t="s">
        <v>969</v>
      </c>
      <c r="F37" s="409" t="s">
        <v>1323</v>
      </c>
      <c r="G37" s="409" t="s">
        <v>1323</v>
      </c>
      <c r="H37" s="409" t="s">
        <v>1323</v>
      </c>
      <c r="I37" s="409" t="s">
        <v>1323</v>
      </c>
      <c r="J37" s="409" t="s">
        <v>2245</v>
      </c>
      <c r="K37" s="835">
        <v>44348</v>
      </c>
      <c r="L37" s="409">
        <v>0</v>
      </c>
      <c r="M37" s="409">
        <v>0</v>
      </c>
      <c r="N37" s="409">
        <v>0.36299999999999999</v>
      </c>
      <c r="O37" s="409">
        <v>0.36299999999999999</v>
      </c>
      <c r="P37" s="409">
        <v>0.36299999999999999</v>
      </c>
      <c r="Q37" s="409">
        <v>0.36299999999999999</v>
      </c>
      <c r="R37" s="409"/>
      <c r="S37" s="409">
        <v>597.01</v>
      </c>
      <c r="T37" s="409">
        <v>243.39</v>
      </c>
      <c r="U37" s="409"/>
      <c r="V37" s="409">
        <v>305.0652</v>
      </c>
      <c r="W37" s="409">
        <v>305.0652</v>
      </c>
      <c r="X37" s="409">
        <v>276.34464000000003</v>
      </c>
      <c r="Y37" s="409">
        <v>0</v>
      </c>
      <c r="Z37" s="409">
        <v>9.0327023198667291</v>
      </c>
      <c r="AA37" s="409">
        <v>0</v>
      </c>
      <c r="AB37" s="409">
        <v>0</v>
      </c>
      <c r="AC37" s="409">
        <v>0</v>
      </c>
      <c r="AD37" s="409">
        <v>42.539630816355221</v>
      </c>
      <c r="AE37" s="409">
        <v>148.84398448891525</v>
      </c>
      <c r="AF37" s="409">
        <v>88.349569862856654</v>
      </c>
      <c r="AG37" s="409">
        <v>0</v>
      </c>
      <c r="AH37" s="409">
        <v>0</v>
      </c>
      <c r="AI37" s="409">
        <v>0</v>
      </c>
      <c r="AJ37" s="409">
        <v>0</v>
      </c>
      <c r="AK37" s="409">
        <v>0</v>
      </c>
      <c r="AL37" s="409">
        <v>3.6877499696249187</v>
      </c>
      <c r="AM37" s="409"/>
      <c r="AN37" s="409">
        <v>0.62322432551706353</v>
      </c>
      <c r="AO37" s="409">
        <v>0</v>
      </c>
      <c r="AP37" s="409">
        <v>0</v>
      </c>
      <c r="AQ37" s="409">
        <v>0</v>
      </c>
      <c r="AR37" s="409">
        <v>0</v>
      </c>
      <c r="AS37" s="409">
        <v>0</v>
      </c>
      <c r="AT37" s="409">
        <v>0</v>
      </c>
      <c r="AU37" s="409">
        <v>0</v>
      </c>
      <c r="AV37" s="409">
        <v>0</v>
      </c>
      <c r="AW37" s="409">
        <v>0</v>
      </c>
      <c r="AX37" s="409">
        <v>0</v>
      </c>
      <c r="AY37" s="409">
        <v>0</v>
      </c>
      <c r="AZ37" s="409">
        <v>0</v>
      </c>
      <c r="BA37" s="409"/>
      <c r="BB37" s="409">
        <v>0</v>
      </c>
      <c r="BC37" s="409">
        <v>0</v>
      </c>
      <c r="BD37" s="409">
        <v>0</v>
      </c>
      <c r="BE37" s="409">
        <v>0</v>
      </c>
      <c r="BF37" s="409">
        <v>0</v>
      </c>
      <c r="BG37" s="409">
        <v>11.986016549748159</v>
      </c>
      <c r="BH37" s="409">
        <v>0</v>
      </c>
      <c r="BI37" s="409">
        <v>0</v>
      </c>
      <c r="BJ37" s="409">
        <v>0</v>
      </c>
      <c r="BK37" s="409">
        <v>0</v>
      </c>
      <c r="BL37" s="409">
        <v>3</v>
      </c>
      <c r="BM37" s="409"/>
      <c r="BN37" s="409"/>
      <c r="BO37" s="409"/>
      <c r="BP37" s="409"/>
      <c r="BQ37" s="409"/>
      <c r="BR37" s="409"/>
      <c r="BS37" s="409"/>
      <c r="BT37" s="409"/>
      <c r="BU37" s="409"/>
      <c r="BV37" s="409">
        <v>100.33558641260481</v>
      </c>
      <c r="BW37" s="409"/>
      <c r="BX37" s="409"/>
      <c r="BY37" s="409"/>
      <c r="BZ37" s="409"/>
      <c r="CA37" s="409"/>
      <c r="CB37" s="409"/>
      <c r="CC37" s="409"/>
      <c r="CD37" s="409"/>
      <c r="CE37" s="409"/>
      <c r="CF37" s="409"/>
      <c r="CG37" s="409"/>
      <c r="CH37" s="409"/>
      <c r="CI37" s="409">
        <v>274.06079999999997</v>
      </c>
      <c r="CJ37" s="409">
        <v>-31.034400000000005</v>
      </c>
      <c r="CK37" s="409"/>
      <c r="CL37" s="409"/>
      <c r="CM37" s="409"/>
      <c r="CN37" s="409"/>
      <c r="CO37" s="409">
        <v>-31.791539999999994</v>
      </c>
      <c r="CP37" s="409">
        <v>3.0709800000000027</v>
      </c>
      <c r="CQ37" s="409">
        <v>30</v>
      </c>
      <c r="CR37" s="409">
        <v>5.3991977529394717</v>
      </c>
      <c r="CS37" s="409">
        <v>0</v>
      </c>
      <c r="CT37" s="409">
        <v>0</v>
      </c>
      <c r="CU37" s="409">
        <v>0</v>
      </c>
      <c r="CV37" s="409">
        <v>0</v>
      </c>
      <c r="CW37" s="409">
        <v>0</v>
      </c>
      <c r="CX37" s="409">
        <v>0</v>
      </c>
      <c r="CY37" s="409">
        <v>0</v>
      </c>
      <c r="CZ37" s="409">
        <v>1.5948370589302456</v>
      </c>
      <c r="DA37" s="409">
        <v>0</v>
      </c>
      <c r="DB37" s="409">
        <v>0</v>
      </c>
      <c r="DC37" s="409">
        <v>4.047285557051282</v>
      </c>
      <c r="DD37" s="409">
        <v>0</v>
      </c>
      <c r="DE37" s="409">
        <v>0</v>
      </c>
      <c r="DF37" s="409">
        <v>0</v>
      </c>
      <c r="DG37" s="409">
        <v>0.54907830047926431</v>
      </c>
      <c r="DH37" s="409">
        <v>0</v>
      </c>
      <c r="DI37" s="409">
        <v>-6.587442061555393E-2</v>
      </c>
      <c r="DJ37" s="409"/>
      <c r="DK37" s="409">
        <v>0</v>
      </c>
      <c r="DL37" s="409">
        <v>0</v>
      </c>
      <c r="DM37" s="409">
        <v>0</v>
      </c>
      <c r="DN37" s="409">
        <v>0</v>
      </c>
      <c r="DO37" s="409">
        <v>-2.0684413368339705E-2</v>
      </c>
      <c r="DP37" s="409">
        <v>-3.6709997968146668E-2</v>
      </c>
      <c r="DQ37" s="409">
        <v>0</v>
      </c>
      <c r="DR37" s="409">
        <v>-0.66873433156927675</v>
      </c>
      <c r="DS37" s="409"/>
      <c r="DT37" s="409"/>
      <c r="DU37" s="409"/>
      <c r="DV37" s="409">
        <v>148.84398448891525</v>
      </c>
      <c r="DW37" s="409">
        <v>0</v>
      </c>
      <c r="DX37" s="409">
        <v>0</v>
      </c>
      <c r="DY37" s="409">
        <v>-31.791539999999998</v>
      </c>
      <c r="DZ37" s="409">
        <v>3.0709800000000058</v>
      </c>
      <c r="EA37" s="409">
        <v>0</v>
      </c>
      <c r="EB37" s="409">
        <v>0</v>
      </c>
      <c r="EC37" s="409">
        <v>-34.118541227858643</v>
      </c>
      <c r="ED37" s="409">
        <v>0</v>
      </c>
      <c r="EE37" s="409">
        <v>0</v>
      </c>
      <c r="EF37" s="409">
        <v>0</v>
      </c>
      <c r="EG37" s="409">
        <v>0</v>
      </c>
      <c r="EH37" s="409">
        <v>0</v>
      </c>
      <c r="EI37" s="409">
        <v>0</v>
      </c>
      <c r="EJ37" s="409">
        <v>0</v>
      </c>
      <c r="EK37" s="409">
        <v>0</v>
      </c>
      <c r="EL37" s="409">
        <v>0</v>
      </c>
      <c r="EM37" s="409">
        <v>0</v>
      </c>
      <c r="EN37" s="409">
        <v>0</v>
      </c>
      <c r="EO37" s="409">
        <v>0</v>
      </c>
      <c r="EP37" s="409">
        <v>0</v>
      </c>
      <c r="EQ37" s="409">
        <v>0</v>
      </c>
      <c r="ER37" s="409">
        <v>0</v>
      </c>
      <c r="ES37" s="409">
        <v>0</v>
      </c>
      <c r="ET37" s="409">
        <v>0</v>
      </c>
      <c r="EU37" s="409">
        <v>0</v>
      </c>
      <c r="EV37" s="409">
        <v>254</v>
      </c>
      <c r="EW37" s="409">
        <v>0</v>
      </c>
      <c r="EX37" s="409">
        <v>0</v>
      </c>
      <c r="EY37" s="409">
        <v>0</v>
      </c>
      <c r="EZ37" s="409"/>
      <c r="FA37" s="409">
        <v>0</v>
      </c>
      <c r="FB37" s="409"/>
      <c r="FC37" s="409"/>
      <c r="FD37" s="409"/>
      <c r="FE37" s="409"/>
      <c r="FF37" s="409">
        <v>0</v>
      </c>
      <c r="FG37" s="409">
        <v>0</v>
      </c>
      <c r="FH37" s="409">
        <v>0</v>
      </c>
      <c r="FI37" s="409">
        <v>0</v>
      </c>
    </row>
    <row r="38" spans="1:165" customFormat="1">
      <c r="A38" s="409">
        <v>36</v>
      </c>
      <c r="B38" s="409" t="s">
        <v>1035</v>
      </c>
      <c r="C38" s="409" t="s">
        <v>2251</v>
      </c>
      <c r="D38" s="409" t="s">
        <v>596</v>
      </c>
      <c r="E38" s="409" t="s">
        <v>969</v>
      </c>
      <c r="F38" s="409" t="s">
        <v>1323</v>
      </c>
      <c r="G38" s="409" t="s">
        <v>1323</v>
      </c>
      <c r="H38" s="409" t="s">
        <v>1323</v>
      </c>
      <c r="I38" s="409" t="s">
        <v>972</v>
      </c>
      <c r="J38" s="409" t="s">
        <v>2245</v>
      </c>
      <c r="K38" s="835">
        <v>44348</v>
      </c>
      <c r="L38" s="409">
        <v>0</v>
      </c>
      <c r="M38" s="409">
        <v>0</v>
      </c>
      <c r="N38" s="409">
        <v>0.17599999999999999</v>
      </c>
      <c r="O38" s="409">
        <v>0.17599999999999999</v>
      </c>
      <c r="P38" s="409">
        <v>0.17599999999999999</v>
      </c>
      <c r="Q38" s="409">
        <v>0.17599999999999999</v>
      </c>
      <c r="R38" s="409"/>
      <c r="S38" s="409">
        <v>2773.91</v>
      </c>
      <c r="T38" s="409">
        <v>243.39</v>
      </c>
      <c r="U38" s="409"/>
      <c r="V38" s="409">
        <v>531.04480000000001</v>
      </c>
      <c r="W38" s="409">
        <v>531.04480000000001</v>
      </c>
      <c r="X38" s="409">
        <v>457.13711999999998</v>
      </c>
      <c r="Y38" s="409">
        <v>0</v>
      </c>
      <c r="Z38" s="409">
        <v>3.8101580694710542</v>
      </c>
      <c r="AA38" s="409">
        <v>0</v>
      </c>
      <c r="AB38" s="409">
        <v>0</v>
      </c>
      <c r="AC38" s="409">
        <v>0</v>
      </c>
      <c r="AD38" s="409">
        <v>126.80932339086246</v>
      </c>
      <c r="AE38" s="409">
        <v>353.01123436431953</v>
      </c>
      <c r="AF38" s="409">
        <v>42.836155085021403</v>
      </c>
      <c r="AG38" s="409">
        <v>0</v>
      </c>
      <c r="AH38" s="409">
        <v>0</v>
      </c>
      <c r="AI38" s="409">
        <v>0</v>
      </c>
      <c r="AJ38" s="409">
        <v>0</v>
      </c>
      <c r="AK38" s="409">
        <v>0</v>
      </c>
      <c r="AL38" s="409">
        <v>1.7879999852726878</v>
      </c>
      <c r="AM38" s="409"/>
      <c r="AN38" s="409">
        <v>0.12208741974797033</v>
      </c>
      <c r="AO38" s="409">
        <v>0</v>
      </c>
      <c r="AP38" s="409">
        <v>0</v>
      </c>
      <c r="AQ38" s="409">
        <v>0</v>
      </c>
      <c r="AR38" s="409">
        <v>0</v>
      </c>
      <c r="AS38" s="409">
        <v>0</v>
      </c>
      <c r="AT38" s="409">
        <v>0</v>
      </c>
      <c r="AU38" s="409">
        <v>0</v>
      </c>
      <c r="AV38" s="409">
        <v>0</v>
      </c>
      <c r="AW38" s="409">
        <v>0</v>
      </c>
      <c r="AX38" s="409">
        <v>0</v>
      </c>
      <c r="AY38" s="409">
        <v>0</v>
      </c>
      <c r="AZ38" s="409">
        <v>0</v>
      </c>
      <c r="BA38" s="409"/>
      <c r="BB38" s="409">
        <v>0</v>
      </c>
      <c r="BC38" s="409">
        <v>0</v>
      </c>
      <c r="BD38" s="409">
        <v>0</v>
      </c>
      <c r="BE38" s="409">
        <v>0</v>
      </c>
      <c r="BF38" s="409">
        <v>0</v>
      </c>
      <c r="BG38" s="409">
        <v>2.6680066918799006</v>
      </c>
      <c r="BH38" s="409">
        <v>0</v>
      </c>
      <c r="BI38" s="409">
        <v>0</v>
      </c>
      <c r="BJ38" s="409">
        <v>0</v>
      </c>
      <c r="BK38" s="409">
        <v>0</v>
      </c>
      <c r="BL38" s="409">
        <v>0</v>
      </c>
      <c r="BM38" s="409"/>
      <c r="BN38" s="409"/>
      <c r="BO38" s="409"/>
      <c r="BP38" s="409"/>
      <c r="BQ38" s="409"/>
      <c r="BR38" s="409"/>
      <c r="BS38" s="409"/>
      <c r="BT38" s="409"/>
      <c r="BU38" s="409"/>
      <c r="BV38" s="409">
        <v>45.504161776901306</v>
      </c>
      <c r="BW38" s="409"/>
      <c r="BX38" s="409"/>
      <c r="BY38" s="409"/>
      <c r="BZ38" s="409"/>
      <c r="CA38" s="409"/>
      <c r="CB38" s="409"/>
      <c r="CC38" s="409"/>
      <c r="CD38" s="409"/>
      <c r="CE38" s="409"/>
      <c r="CF38" s="409"/>
      <c r="CG38" s="409"/>
      <c r="CH38" s="409"/>
      <c r="CI38" s="409">
        <v>467.52660000000003</v>
      </c>
      <c r="CJ38" s="409">
        <v>-63.548199999999952</v>
      </c>
      <c r="CK38" s="409"/>
      <c r="CL38" s="409"/>
      <c r="CM38" s="409"/>
      <c r="CN38" s="409"/>
      <c r="CO38" s="409">
        <v>-75.396639999999977</v>
      </c>
      <c r="CP38" s="409">
        <v>1.4889600000000014</v>
      </c>
      <c r="CQ38" s="409">
        <v>30</v>
      </c>
      <c r="CR38" s="409">
        <v>7.0103502032868334</v>
      </c>
      <c r="CS38" s="409">
        <v>0</v>
      </c>
      <c r="CT38" s="409">
        <v>0</v>
      </c>
      <c r="CU38" s="409">
        <v>0</v>
      </c>
      <c r="CV38" s="409">
        <v>0</v>
      </c>
      <c r="CW38" s="409">
        <v>0</v>
      </c>
      <c r="CX38" s="409">
        <v>0</v>
      </c>
      <c r="CY38" s="409">
        <v>0</v>
      </c>
      <c r="CZ38" s="409">
        <v>4.7541599322917989</v>
      </c>
      <c r="DA38" s="409">
        <v>0</v>
      </c>
      <c r="DB38" s="409">
        <v>0</v>
      </c>
      <c r="DC38" s="409">
        <v>1.9623202700854705</v>
      </c>
      <c r="DD38" s="409">
        <v>0</v>
      </c>
      <c r="DE38" s="409">
        <v>0</v>
      </c>
      <c r="DF38" s="409">
        <v>0</v>
      </c>
      <c r="DG38" s="409">
        <v>0.12222113777038857</v>
      </c>
      <c r="DH38" s="409">
        <v>0</v>
      </c>
      <c r="DI38" s="409">
        <v>-2.7787028332377339E-2</v>
      </c>
      <c r="DJ38" s="409"/>
      <c r="DK38" s="409">
        <v>0</v>
      </c>
      <c r="DL38" s="409">
        <v>0</v>
      </c>
      <c r="DM38" s="409">
        <v>0</v>
      </c>
      <c r="DN38" s="409">
        <v>0</v>
      </c>
      <c r="DO38" s="409">
        <v>-1.002880648161919E-2</v>
      </c>
      <c r="DP38" s="409">
        <v>-7.1913575054470963E-3</v>
      </c>
      <c r="DQ38" s="409">
        <v>0</v>
      </c>
      <c r="DR38" s="409">
        <v>0.21665605545860855</v>
      </c>
      <c r="DS38" s="409"/>
      <c r="DT38" s="409"/>
      <c r="DU38" s="409"/>
      <c r="DV38" s="409">
        <v>353.01123436431953</v>
      </c>
      <c r="DW38" s="409">
        <v>0</v>
      </c>
      <c r="DX38" s="409">
        <v>0</v>
      </c>
      <c r="DY38" s="409">
        <v>-75.396639999999991</v>
      </c>
      <c r="DZ38" s="409">
        <v>1.4889599999999987</v>
      </c>
      <c r="EA38" s="409">
        <v>0</v>
      </c>
      <c r="EB38" s="409">
        <v>0</v>
      </c>
      <c r="EC38" s="409">
        <v>-80.918475777925323</v>
      </c>
      <c r="ED38" s="409">
        <v>0</v>
      </c>
      <c r="EE38" s="409">
        <v>0</v>
      </c>
      <c r="EF38" s="409">
        <v>0</v>
      </c>
      <c r="EG38" s="409">
        <v>0</v>
      </c>
      <c r="EH38" s="409">
        <v>0</v>
      </c>
      <c r="EI38" s="409">
        <v>0</v>
      </c>
      <c r="EJ38" s="409">
        <v>0</v>
      </c>
      <c r="EK38" s="409">
        <v>0</v>
      </c>
      <c r="EL38" s="409">
        <v>0</v>
      </c>
      <c r="EM38" s="409">
        <v>0</v>
      </c>
      <c r="EN38" s="409">
        <v>0</v>
      </c>
      <c r="EO38" s="409">
        <v>0</v>
      </c>
      <c r="EP38" s="409">
        <v>0</v>
      </c>
      <c r="EQ38" s="409">
        <v>0</v>
      </c>
      <c r="ER38" s="409">
        <v>0</v>
      </c>
      <c r="ES38" s="409">
        <v>0</v>
      </c>
      <c r="ET38" s="409">
        <v>0</v>
      </c>
      <c r="EU38" s="409">
        <v>0</v>
      </c>
      <c r="EV38" s="409">
        <v>254</v>
      </c>
      <c r="EW38" s="409">
        <v>0</v>
      </c>
      <c r="EX38" s="409">
        <v>0</v>
      </c>
      <c r="EY38" s="409">
        <v>0</v>
      </c>
      <c r="EZ38" s="409"/>
      <c r="FA38" s="409">
        <v>0</v>
      </c>
      <c r="FB38" s="409"/>
      <c r="FC38" s="409"/>
      <c r="FD38" s="409"/>
      <c r="FE38" s="409"/>
      <c r="FF38" s="409">
        <v>0</v>
      </c>
      <c r="FG38" s="409">
        <v>0</v>
      </c>
      <c r="FH38" s="409">
        <v>0</v>
      </c>
      <c r="FI38" s="409">
        <v>0</v>
      </c>
    </row>
    <row r="39" spans="1:165" customFormat="1">
      <c r="A39" s="409">
        <v>37</v>
      </c>
      <c r="B39" s="409" t="s">
        <v>1035</v>
      </c>
      <c r="C39" s="409" t="s">
        <v>2251</v>
      </c>
      <c r="D39" s="409" t="s">
        <v>596</v>
      </c>
      <c r="E39" s="409" t="s">
        <v>969</v>
      </c>
      <c r="F39" s="409" t="s">
        <v>1323</v>
      </c>
      <c r="G39" s="409" t="s">
        <v>1323</v>
      </c>
      <c r="H39" s="409" t="s">
        <v>1323</v>
      </c>
      <c r="I39" s="409" t="s">
        <v>2237</v>
      </c>
      <c r="J39" s="409" t="s">
        <v>2245</v>
      </c>
      <c r="K39" s="835">
        <v>44348</v>
      </c>
      <c r="L39" s="409">
        <v>0</v>
      </c>
      <c r="M39" s="409">
        <v>0</v>
      </c>
      <c r="N39" s="409">
        <v>22.076000000000001</v>
      </c>
      <c r="O39" s="409">
        <v>22.076000000000001</v>
      </c>
      <c r="P39" s="409">
        <v>22.076000000000001</v>
      </c>
      <c r="Q39" s="409">
        <v>22.076000000000001</v>
      </c>
      <c r="R39" s="409"/>
      <c r="S39" s="409">
        <v>47.66</v>
      </c>
      <c r="T39" s="409">
        <v>243.39</v>
      </c>
      <c r="U39" s="409"/>
      <c r="V39" s="409">
        <v>6425.2197999999989</v>
      </c>
      <c r="W39" s="409">
        <v>6425.2197999999989</v>
      </c>
      <c r="X39" s="409">
        <v>6623.2415200000005</v>
      </c>
      <c r="Y39" s="409">
        <v>0</v>
      </c>
      <c r="Z39" s="409">
        <v>477.91505421388069</v>
      </c>
      <c r="AA39" s="409">
        <v>0</v>
      </c>
      <c r="AB39" s="409">
        <v>0</v>
      </c>
      <c r="AC39" s="409">
        <v>0</v>
      </c>
      <c r="AD39" s="409">
        <v>0</v>
      </c>
      <c r="AE39" s="409">
        <v>0</v>
      </c>
      <c r="AF39" s="409">
        <v>5373.0168162325717</v>
      </c>
      <c r="AG39" s="409">
        <v>0</v>
      </c>
      <c r="AH39" s="409">
        <v>0</v>
      </c>
      <c r="AI39" s="409">
        <v>0</v>
      </c>
      <c r="AJ39" s="409">
        <v>0</v>
      </c>
      <c r="AK39" s="409">
        <v>0</v>
      </c>
      <c r="AL39" s="409">
        <v>224.27208906181738</v>
      </c>
      <c r="AM39" s="409"/>
      <c r="AN39" s="409">
        <v>15.313647036114734</v>
      </c>
      <c r="AO39" s="409">
        <v>0</v>
      </c>
      <c r="AP39" s="409">
        <v>0</v>
      </c>
      <c r="AQ39" s="409">
        <v>0</v>
      </c>
      <c r="AR39" s="409">
        <v>0</v>
      </c>
      <c r="AS39" s="409">
        <v>0</v>
      </c>
      <c r="AT39" s="409">
        <v>0</v>
      </c>
      <c r="AU39" s="409">
        <v>0</v>
      </c>
      <c r="AV39" s="409">
        <v>0</v>
      </c>
      <c r="AW39" s="409">
        <v>0</v>
      </c>
      <c r="AX39" s="409">
        <v>0</v>
      </c>
      <c r="AY39" s="409">
        <v>0</v>
      </c>
      <c r="AZ39" s="409">
        <v>0</v>
      </c>
      <c r="BA39" s="409"/>
      <c r="BB39" s="409">
        <v>0</v>
      </c>
      <c r="BC39" s="409">
        <v>0</v>
      </c>
      <c r="BD39" s="409">
        <v>0</v>
      </c>
      <c r="BE39" s="409">
        <v>0</v>
      </c>
      <c r="BF39" s="409">
        <v>0</v>
      </c>
      <c r="BG39" s="409">
        <v>334.65293028375396</v>
      </c>
      <c r="BH39" s="409">
        <v>0</v>
      </c>
      <c r="BI39" s="409">
        <v>0</v>
      </c>
      <c r="BJ39" s="409">
        <v>0</v>
      </c>
      <c r="BK39" s="409">
        <v>0</v>
      </c>
      <c r="BL39" s="409">
        <v>0</v>
      </c>
      <c r="BM39" s="409"/>
      <c r="BN39" s="409"/>
      <c r="BO39" s="409"/>
      <c r="BP39" s="409"/>
      <c r="BQ39" s="409"/>
      <c r="BR39" s="409"/>
      <c r="BS39" s="409"/>
      <c r="BT39" s="409"/>
      <c r="BU39" s="409"/>
      <c r="BV39" s="409">
        <v>5707.6697465163261</v>
      </c>
      <c r="BW39" s="409"/>
      <c r="BX39" s="409"/>
      <c r="BY39" s="409"/>
      <c r="BZ39" s="409"/>
      <c r="CA39" s="409"/>
      <c r="CB39" s="409"/>
      <c r="CC39" s="409"/>
      <c r="CD39" s="409"/>
      <c r="CE39" s="409"/>
      <c r="CF39" s="409"/>
      <c r="CG39" s="409"/>
      <c r="CH39" s="409"/>
      <c r="CI39" s="409">
        <v>6624.4415999999992</v>
      </c>
      <c r="CJ39" s="409">
        <v>199.1917999999996</v>
      </c>
      <c r="CK39" s="409"/>
      <c r="CL39" s="409"/>
      <c r="CM39" s="409"/>
      <c r="CN39" s="409"/>
      <c r="CO39" s="409">
        <v>11.258760000000112</v>
      </c>
      <c r="CP39" s="409">
        <v>186.76296000000019</v>
      </c>
      <c r="CQ39" s="409">
        <v>30</v>
      </c>
      <c r="CR39" s="409">
        <v>198.03235176110138</v>
      </c>
      <c r="CS39" s="409">
        <v>0</v>
      </c>
      <c r="CT39" s="409">
        <v>0</v>
      </c>
      <c r="CU39" s="409">
        <v>0</v>
      </c>
      <c r="CV39" s="409">
        <v>0</v>
      </c>
      <c r="CW39" s="409">
        <v>0</v>
      </c>
      <c r="CX39" s="409">
        <v>0</v>
      </c>
      <c r="CY39" s="409">
        <v>0</v>
      </c>
      <c r="CZ39" s="409">
        <v>0</v>
      </c>
      <c r="DA39" s="409">
        <v>0</v>
      </c>
      <c r="DB39" s="409">
        <v>0</v>
      </c>
      <c r="DC39" s="409">
        <v>246.13739933185752</v>
      </c>
      <c r="DD39" s="409">
        <v>0</v>
      </c>
      <c r="DE39" s="409">
        <v>0</v>
      </c>
      <c r="DF39" s="409">
        <v>0</v>
      </c>
      <c r="DG39" s="409">
        <v>15.330419530790323</v>
      </c>
      <c r="DH39" s="409">
        <v>0</v>
      </c>
      <c r="DI39" s="409">
        <v>-3.4853774855998267</v>
      </c>
      <c r="DJ39" s="409"/>
      <c r="DK39" s="409">
        <v>0</v>
      </c>
      <c r="DL39" s="409">
        <v>0</v>
      </c>
      <c r="DM39" s="409">
        <v>0</v>
      </c>
      <c r="DN39" s="409">
        <v>0</v>
      </c>
      <c r="DO39" s="409">
        <v>-1.2579314311830956</v>
      </c>
      <c r="DP39" s="409">
        <v>-0.90202504710369347</v>
      </c>
      <c r="DQ39" s="409">
        <v>0</v>
      </c>
      <c r="DR39" s="409">
        <v>-57.790133137659787</v>
      </c>
      <c r="DS39" s="409"/>
      <c r="DT39" s="409"/>
      <c r="DU39" s="409"/>
      <c r="DV39" s="409">
        <v>0</v>
      </c>
      <c r="DW39" s="409">
        <v>0</v>
      </c>
      <c r="DX39" s="409">
        <v>0</v>
      </c>
      <c r="DY39" s="409">
        <v>11.258760000000166</v>
      </c>
      <c r="DZ39" s="409">
        <v>186.76296000000093</v>
      </c>
      <c r="EA39" s="409">
        <v>0</v>
      </c>
      <c r="EB39" s="409">
        <v>0</v>
      </c>
      <c r="EC39" s="409">
        <v>0</v>
      </c>
      <c r="ED39" s="409">
        <v>0</v>
      </c>
      <c r="EE39" s="409">
        <v>0</v>
      </c>
      <c r="EF39" s="409">
        <v>0</v>
      </c>
      <c r="EG39" s="409">
        <v>0</v>
      </c>
      <c r="EH39" s="409">
        <v>0</v>
      </c>
      <c r="EI39" s="409">
        <v>0</v>
      </c>
      <c r="EJ39" s="409">
        <v>0</v>
      </c>
      <c r="EK39" s="409">
        <v>0</v>
      </c>
      <c r="EL39" s="409">
        <v>0</v>
      </c>
      <c r="EM39" s="409">
        <v>0</v>
      </c>
      <c r="EN39" s="409">
        <v>0</v>
      </c>
      <c r="EO39" s="409">
        <v>0</v>
      </c>
      <c r="EP39" s="409">
        <v>0</v>
      </c>
      <c r="EQ39" s="409">
        <v>0</v>
      </c>
      <c r="ER39" s="409">
        <v>0</v>
      </c>
      <c r="ES39" s="409">
        <v>0</v>
      </c>
      <c r="ET39" s="409">
        <v>0</v>
      </c>
      <c r="EU39" s="409">
        <v>0</v>
      </c>
      <c r="EV39" s="409">
        <v>254</v>
      </c>
      <c r="EW39" s="409">
        <v>0</v>
      </c>
      <c r="EX39" s="409">
        <v>0</v>
      </c>
      <c r="EY39" s="409">
        <v>0</v>
      </c>
      <c r="EZ39" s="409"/>
      <c r="FA39" s="409">
        <v>0</v>
      </c>
      <c r="FB39" s="409"/>
      <c r="FC39" s="409"/>
      <c r="FD39" s="409"/>
      <c r="FE39" s="409"/>
      <c r="FF39" s="409">
        <v>0</v>
      </c>
      <c r="FG39" s="409">
        <v>0</v>
      </c>
      <c r="FH39" s="409">
        <v>0</v>
      </c>
      <c r="FI39" s="409">
        <v>0</v>
      </c>
    </row>
    <row r="40" spans="1:165" customFormat="1">
      <c r="A40" s="409">
        <v>38</v>
      </c>
      <c r="B40" s="409" t="s">
        <v>1035</v>
      </c>
      <c r="C40" s="409" t="s">
        <v>2251</v>
      </c>
      <c r="D40" s="409" t="s">
        <v>596</v>
      </c>
      <c r="E40" s="409" t="s">
        <v>969</v>
      </c>
      <c r="F40" s="409" t="s">
        <v>1323</v>
      </c>
      <c r="G40" s="409" t="s">
        <v>1323</v>
      </c>
      <c r="H40" s="409" t="s">
        <v>1323</v>
      </c>
      <c r="I40" s="409" t="s">
        <v>1323</v>
      </c>
      <c r="J40" s="409" t="s">
        <v>2245</v>
      </c>
      <c r="K40" s="835">
        <v>44348</v>
      </c>
      <c r="L40" s="409">
        <v>120</v>
      </c>
      <c r="M40" s="409">
        <v>120</v>
      </c>
      <c r="N40" s="409">
        <v>0</v>
      </c>
      <c r="O40" s="409">
        <v>0</v>
      </c>
      <c r="P40" s="409">
        <v>0</v>
      </c>
      <c r="Q40" s="409">
        <v>0</v>
      </c>
      <c r="R40" s="409">
        <v>50.27</v>
      </c>
      <c r="S40" s="409"/>
      <c r="T40" s="409"/>
      <c r="U40" s="409">
        <v>6032.4000000000005</v>
      </c>
      <c r="V40" s="409"/>
      <c r="W40" s="409">
        <v>6032.4000000000005</v>
      </c>
      <c r="X40" s="409">
        <v>5424</v>
      </c>
      <c r="Y40" s="409">
        <v>0</v>
      </c>
      <c r="Z40" s="409">
        <v>0</v>
      </c>
      <c r="AA40" s="409">
        <v>0</v>
      </c>
      <c r="AB40" s="409">
        <v>0</v>
      </c>
      <c r="AC40" s="409">
        <v>0</v>
      </c>
      <c r="AD40" s="409">
        <v>2875.1919811512239</v>
      </c>
      <c r="AE40" s="409">
        <v>3156.6615245067596</v>
      </c>
      <c r="AF40" s="409"/>
      <c r="AG40" s="409"/>
      <c r="AH40" s="409"/>
      <c r="AI40" s="409">
        <v>0</v>
      </c>
      <c r="AJ40" s="409">
        <v>0</v>
      </c>
      <c r="AK40" s="409">
        <v>0</v>
      </c>
      <c r="AL40" s="409">
        <v>0</v>
      </c>
      <c r="AM40" s="409"/>
      <c r="AN40" s="409">
        <v>0</v>
      </c>
      <c r="AO40" s="409">
        <v>0</v>
      </c>
      <c r="AP40" s="409">
        <v>0</v>
      </c>
      <c r="AQ40" s="409">
        <v>0</v>
      </c>
      <c r="AR40" s="409">
        <v>0</v>
      </c>
      <c r="AS40" s="409"/>
      <c r="AT40" s="409"/>
      <c r="AU40" s="409">
        <v>0</v>
      </c>
      <c r="AV40" s="409">
        <v>0</v>
      </c>
      <c r="AW40" s="409">
        <v>0</v>
      </c>
      <c r="AX40" s="409"/>
      <c r="AY40" s="409"/>
      <c r="AZ40" s="409">
        <v>0</v>
      </c>
      <c r="BA40" s="409"/>
      <c r="BB40" s="409">
        <v>0</v>
      </c>
      <c r="BC40" s="409">
        <v>0</v>
      </c>
      <c r="BD40" s="409">
        <v>0</v>
      </c>
      <c r="BE40" s="409">
        <v>0</v>
      </c>
      <c r="BF40" s="409"/>
      <c r="BG40" s="409">
        <v>0</v>
      </c>
      <c r="BH40" s="409">
        <v>0</v>
      </c>
      <c r="BI40" s="409">
        <v>0</v>
      </c>
      <c r="BJ40" s="409">
        <v>0</v>
      </c>
      <c r="BK40" s="409">
        <v>0</v>
      </c>
      <c r="BL40" s="409">
        <v>1</v>
      </c>
      <c r="BM40" s="409"/>
      <c r="BN40" s="409"/>
      <c r="BO40" s="409"/>
      <c r="BP40" s="409"/>
      <c r="BQ40" s="409"/>
      <c r="BR40" s="409"/>
      <c r="BS40" s="409"/>
      <c r="BT40" s="409"/>
      <c r="BU40" s="409"/>
      <c r="BV40" s="409">
        <v>0</v>
      </c>
      <c r="BW40" s="409"/>
      <c r="BX40" s="409"/>
      <c r="BY40" s="409"/>
      <c r="BZ40" s="409"/>
      <c r="CA40" s="409"/>
      <c r="CB40" s="409"/>
      <c r="CC40" s="409"/>
      <c r="CD40" s="409"/>
      <c r="CE40" s="409"/>
      <c r="CF40" s="409"/>
      <c r="CG40" s="409"/>
      <c r="CH40" s="409"/>
      <c r="CI40" s="409">
        <v>5424</v>
      </c>
      <c r="CJ40" s="409">
        <v>-608.4300000000012</v>
      </c>
      <c r="CK40" s="409"/>
      <c r="CL40" s="409"/>
      <c r="CM40" s="409"/>
      <c r="CN40" s="409"/>
      <c r="CO40" s="409">
        <v>-608.40000000000009</v>
      </c>
      <c r="CP40" s="409">
        <v>0</v>
      </c>
      <c r="CQ40" s="409">
        <v>30</v>
      </c>
      <c r="CR40" s="409">
        <v>116.30817949722041</v>
      </c>
      <c r="CS40" s="409">
        <v>0</v>
      </c>
      <c r="CT40" s="409">
        <v>0</v>
      </c>
      <c r="CU40" s="409">
        <v>0</v>
      </c>
      <c r="CV40" s="409">
        <v>0</v>
      </c>
      <c r="CW40" s="409"/>
      <c r="CX40" s="409"/>
      <c r="CY40" s="409"/>
      <c r="CZ40" s="409">
        <v>107.79272492689233</v>
      </c>
      <c r="DA40" s="409">
        <v>0</v>
      </c>
      <c r="DB40" s="409">
        <v>0</v>
      </c>
      <c r="DC40" s="409"/>
      <c r="DD40" s="409"/>
      <c r="DE40" s="409">
        <v>0</v>
      </c>
      <c r="DF40" s="409">
        <v>0</v>
      </c>
      <c r="DG40" s="409">
        <v>0</v>
      </c>
      <c r="DH40" s="409">
        <v>0</v>
      </c>
      <c r="DI40" s="409">
        <v>0</v>
      </c>
      <c r="DJ40" s="409"/>
      <c r="DK40" s="409">
        <v>0</v>
      </c>
      <c r="DL40" s="409">
        <v>0</v>
      </c>
      <c r="DM40" s="409"/>
      <c r="DN40" s="409">
        <v>0</v>
      </c>
      <c r="DO40" s="409">
        <v>0</v>
      </c>
      <c r="DP40" s="409">
        <v>0</v>
      </c>
      <c r="DQ40" s="409">
        <v>0</v>
      </c>
      <c r="DR40" s="409">
        <v>8.5154545703282878</v>
      </c>
      <c r="DS40" s="409"/>
      <c r="DT40" s="409"/>
      <c r="DU40" s="409">
        <v>3156.6615245067596</v>
      </c>
      <c r="DV40" s="409"/>
      <c r="DW40" s="409">
        <v>0</v>
      </c>
      <c r="DX40" s="409">
        <v>0</v>
      </c>
      <c r="DY40" s="409">
        <v>-608.40000000000055</v>
      </c>
      <c r="DZ40" s="409"/>
      <c r="EA40" s="409">
        <v>0</v>
      </c>
      <c r="EB40" s="409"/>
      <c r="EC40" s="409">
        <v>-723.58104854615976</v>
      </c>
      <c r="ED40" s="409"/>
      <c r="EE40" s="409">
        <v>0</v>
      </c>
      <c r="EF40" s="409">
        <v>0</v>
      </c>
      <c r="EG40" s="409"/>
      <c r="EH40" s="409">
        <v>0</v>
      </c>
      <c r="EI40" s="409">
        <v>0</v>
      </c>
      <c r="EJ40" s="409">
        <v>0</v>
      </c>
      <c r="EK40" s="409">
        <v>0</v>
      </c>
      <c r="EL40" s="409">
        <v>0</v>
      </c>
      <c r="EM40" s="409"/>
      <c r="EN40" s="409"/>
      <c r="EO40" s="409">
        <v>0</v>
      </c>
      <c r="EP40" s="409">
        <v>0</v>
      </c>
      <c r="EQ40" s="409"/>
      <c r="ER40" s="409">
        <v>0</v>
      </c>
      <c r="ES40" s="409"/>
      <c r="ET40" s="409">
        <v>0</v>
      </c>
      <c r="EU40" s="409"/>
      <c r="EV40" s="409">
        <v>254</v>
      </c>
      <c r="EW40" s="409"/>
      <c r="EX40" s="409"/>
      <c r="EY40" s="409"/>
      <c r="EZ40" s="409"/>
      <c r="FA40" s="409">
        <v>0</v>
      </c>
      <c r="FB40" s="409"/>
      <c r="FC40" s="409"/>
      <c r="FD40" s="409"/>
      <c r="FE40" s="409"/>
      <c r="FF40" s="409">
        <v>0</v>
      </c>
      <c r="FG40" s="409">
        <v>0</v>
      </c>
      <c r="FH40" s="409">
        <v>0</v>
      </c>
      <c r="FI40" s="409">
        <v>0</v>
      </c>
    </row>
    <row r="41" spans="1:165" customFormat="1">
      <c r="A41" s="409">
        <v>39</v>
      </c>
      <c r="B41" s="409" t="s">
        <v>1035</v>
      </c>
      <c r="C41" s="409" t="s">
        <v>2244</v>
      </c>
      <c r="D41" s="409" t="s">
        <v>1994</v>
      </c>
      <c r="E41" s="409" t="s">
        <v>997</v>
      </c>
      <c r="F41" s="409" t="s">
        <v>1323</v>
      </c>
      <c r="G41" s="409" t="s">
        <v>1323</v>
      </c>
      <c r="H41" s="409" t="s">
        <v>1323</v>
      </c>
      <c r="I41" s="409" t="s">
        <v>1323</v>
      </c>
      <c r="J41" s="409" t="s">
        <v>2245</v>
      </c>
      <c r="K41" s="835">
        <v>44348</v>
      </c>
      <c r="L41" s="409">
        <v>0</v>
      </c>
      <c r="M41" s="409">
        <v>0</v>
      </c>
      <c r="N41" s="409">
        <v>54.484000000000002</v>
      </c>
      <c r="O41" s="409">
        <v>54.484000000000002</v>
      </c>
      <c r="P41" s="409">
        <v>54.484000000000002</v>
      </c>
      <c r="Q41" s="409">
        <v>54.484000000000002</v>
      </c>
      <c r="R41" s="409"/>
      <c r="S41" s="409">
        <v>597.01</v>
      </c>
      <c r="T41" s="409">
        <v>243.39</v>
      </c>
      <c r="U41" s="409"/>
      <c r="V41" s="409">
        <v>45788.353600000002</v>
      </c>
      <c r="W41" s="409">
        <v>45788.353600000002</v>
      </c>
      <c r="X41" s="409">
        <v>41477.579519999999</v>
      </c>
      <c r="Y41" s="409">
        <v>0</v>
      </c>
      <c r="Z41" s="409">
        <v>1355.7513862138262</v>
      </c>
      <c r="AA41" s="409">
        <v>0</v>
      </c>
      <c r="AB41" s="409">
        <v>0</v>
      </c>
      <c r="AC41" s="409">
        <v>0</v>
      </c>
      <c r="AD41" s="409">
        <v>6384.9290506840161</v>
      </c>
      <c r="AE41" s="409">
        <v>22340.538983179227</v>
      </c>
      <c r="AF41" s="409">
        <v>13260.71064575174</v>
      </c>
      <c r="AG41" s="409">
        <v>0</v>
      </c>
      <c r="AH41" s="409">
        <v>0</v>
      </c>
      <c r="AI41" s="409">
        <v>0</v>
      </c>
      <c r="AJ41" s="409">
        <v>0</v>
      </c>
      <c r="AK41" s="409">
        <v>0</v>
      </c>
      <c r="AL41" s="409">
        <v>553.50790453180184</v>
      </c>
      <c r="AM41" s="409"/>
      <c r="AN41" s="409">
        <v>93.542022455844887</v>
      </c>
      <c r="AO41" s="409">
        <v>0</v>
      </c>
      <c r="AP41" s="409">
        <v>0</v>
      </c>
      <c r="AQ41" s="409">
        <v>0</v>
      </c>
      <c r="AR41" s="409">
        <v>0</v>
      </c>
      <c r="AS41" s="409">
        <v>0</v>
      </c>
      <c r="AT41" s="409">
        <v>0</v>
      </c>
      <c r="AU41" s="409">
        <v>0</v>
      </c>
      <c r="AV41" s="409">
        <v>0</v>
      </c>
      <c r="AW41" s="409">
        <v>0</v>
      </c>
      <c r="AX41" s="409">
        <v>0</v>
      </c>
      <c r="AY41" s="409">
        <v>0</v>
      </c>
      <c r="AZ41" s="409">
        <v>0</v>
      </c>
      <c r="BA41" s="409"/>
      <c r="BB41" s="409">
        <v>0</v>
      </c>
      <c r="BC41" s="409">
        <v>0</v>
      </c>
      <c r="BD41" s="409">
        <v>0</v>
      </c>
      <c r="BE41" s="409">
        <v>0</v>
      </c>
      <c r="BF41" s="409">
        <v>0</v>
      </c>
      <c r="BG41" s="409">
        <v>1799.0251396597209</v>
      </c>
      <c r="BH41" s="409">
        <v>0</v>
      </c>
      <c r="BI41" s="409">
        <v>57.23</v>
      </c>
      <c r="BJ41" s="409">
        <v>264.11</v>
      </c>
      <c r="BK41" s="409">
        <v>3334.25</v>
      </c>
      <c r="BL41" s="409">
        <v>210</v>
      </c>
      <c r="BM41" s="409"/>
      <c r="BN41" s="409"/>
      <c r="BO41" s="409"/>
      <c r="BP41" s="409"/>
      <c r="BQ41" s="409"/>
      <c r="BR41" s="409"/>
      <c r="BS41" s="409"/>
      <c r="BT41" s="409"/>
      <c r="BU41" s="409"/>
      <c r="BV41" s="409">
        <v>15059.735785411462</v>
      </c>
      <c r="BW41" s="409"/>
      <c r="BX41" s="409"/>
      <c r="BY41" s="409"/>
      <c r="BZ41" s="409"/>
      <c r="CA41" s="409"/>
      <c r="CB41" s="409"/>
      <c r="CC41" s="409"/>
      <c r="CD41" s="409"/>
      <c r="CE41" s="409"/>
      <c r="CF41" s="409"/>
      <c r="CG41" s="409"/>
      <c r="CH41" s="409"/>
      <c r="CI41" s="409">
        <v>41474.534399999997</v>
      </c>
      <c r="CJ41" s="409">
        <v>-4313.8491999999969</v>
      </c>
      <c r="CK41" s="409"/>
      <c r="CL41" s="409"/>
      <c r="CM41" s="409"/>
      <c r="CN41" s="409"/>
      <c r="CO41" s="409">
        <v>-4771.7087199999996</v>
      </c>
      <c r="CP41" s="409">
        <v>460.93464000000046</v>
      </c>
      <c r="CQ41" s="409">
        <v>30</v>
      </c>
      <c r="CR41" s="409">
        <v>810.3853729232942</v>
      </c>
      <c r="CS41" s="409">
        <v>0</v>
      </c>
      <c r="CT41" s="409">
        <v>0</v>
      </c>
      <c r="CU41" s="409">
        <v>0</v>
      </c>
      <c r="CV41" s="409">
        <v>0</v>
      </c>
      <c r="CW41" s="409">
        <v>0</v>
      </c>
      <c r="CX41" s="409">
        <v>0</v>
      </c>
      <c r="CY41" s="409">
        <v>0</v>
      </c>
      <c r="CZ41" s="409">
        <v>239.37493751723377</v>
      </c>
      <c r="DA41" s="409">
        <v>0</v>
      </c>
      <c r="DB41" s="409">
        <v>0</v>
      </c>
      <c r="DC41" s="409">
        <v>607.4719181553246</v>
      </c>
      <c r="DD41" s="409">
        <v>0</v>
      </c>
      <c r="DE41" s="409">
        <v>0</v>
      </c>
      <c r="DF41" s="409">
        <v>0</v>
      </c>
      <c r="DG41" s="409">
        <v>82.413173893422254</v>
      </c>
      <c r="DH41" s="409">
        <v>0</v>
      </c>
      <c r="DI41" s="409">
        <v>-9.8873331482586764</v>
      </c>
      <c r="DJ41" s="409"/>
      <c r="DK41" s="409">
        <v>0</v>
      </c>
      <c r="DL41" s="409">
        <v>0</v>
      </c>
      <c r="DM41" s="409">
        <v>0</v>
      </c>
      <c r="DN41" s="409">
        <v>0</v>
      </c>
      <c r="DO41" s="409">
        <v>-3.1045993883211622</v>
      </c>
      <c r="DP41" s="409">
        <v>-5.5099380972355476</v>
      </c>
      <c r="DQ41" s="409">
        <v>0</v>
      </c>
      <c r="DR41" s="409">
        <v>-100.37278600887183</v>
      </c>
      <c r="DS41" s="409"/>
      <c r="DT41" s="409"/>
      <c r="DU41" s="409"/>
      <c r="DV41" s="409">
        <v>22340.538983179227</v>
      </c>
      <c r="DW41" s="409">
        <v>0</v>
      </c>
      <c r="DX41" s="409">
        <v>0</v>
      </c>
      <c r="DY41" s="409">
        <v>-4771.7087199999987</v>
      </c>
      <c r="DZ41" s="409">
        <v>460.93464000000131</v>
      </c>
      <c r="EA41" s="409">
        <v>0</v>
      </c>
      <c r="EB41" s="409">
        <v>0</v>
      </c>
      <c r="EC41" s="409">
        <v>-5120.9768602166696</v>
      </c>
      <c r="ED41" s="409">
        <v>0</v>
      </c>
      <c r="EE41" s="409">
        <v>0</v>
      </c>
      <c r="EF41" s="409">
        <v>0</v>
      </c>
      <c r="EG41" s="409">
        <v>0</v>
      </c>
      <c r="EH41" s="409">
        <v>0</v>
      </c>
      <c r="EI41" s="409">
        <v>0</v>
      </c>
      <c r="EJ41" s="409">
        <v>0</v>
      </c>
      <c r="EK41" s="409">
        <v>0</v>
      </c>
      <c r="EL41" s="409">
        <v>0</v>
      </c>
      <c r="EM41" s="409">
        <v>0</v>
      </c>
      <c r="EN41" s="409">
        <v>0</v>
      </c>
      <c r="EO41" s="409">
        <v>0</v>
      </c>
      <c r="EP41" s="409">
        <v>0</v>
      </c>
      <c r="EQ41" s="409">
        <v>0</v>
      </c>
      <c r="ER41" s="409">
        <v>0</v>
      </c>
      <c r="ES41" s="409">
        <v>0</v>
      </c>
      <c r="ET41" s="409">
        <v>0</v>
      </c>
      <c r="EU41" s="409">
        <v>0</v>
      </c>
      <c r="EV41" s="409">
        <v>254</v>
      </c>
      <c r="EW41" s="409">
        <v>0</v>
      </c>
      <c r="EX41" s="409">
        <v>0</v>
      </c>
      <c r="EY41" s="409">
        <v>0</v>
      </c>
      <c r="EZ41" s="409"/>
      <c r="FA41" s="409">
        <v>0</v>
      </c>
      <c r="FB41" s="409"/>
      <c r="FC41" s="409"/>
      <c r="FD41" s="409"/>
      <c r="FE41" s="409"/>
      <c r="FF41" s="409">
        <v>0</v>
      </c>
      <c r="FG41" s="409">
        <v>0</v>
      </c>
      <c r="FH41" s="409">
        <v>0</v>
      </c>
      <c r="FI41" s="409">
        <v>0</v>
      </c>
    </row>
    <row r="42" spans="1:165" customFormat="1">
      <c r="A42" s="409">
        <v>40</v>
      </c>
      <c r="B42" s="409" t="s">
        <v>2246</v>
      </c>
      <c r="C42" s="409" t="s">
        <v>2244</v>
      </c>
      <c r="D42" s="409" t="s">
        <v>1994</v>
      </c>
      <c r="E42" s="409" t="s">
        <v>997</v>
      </c>
      <c r="F42" s="409" t="s">
        <v>1323</v>
      </c>
      <c r="G42" s="409" t="s">
        <v>1323</v>
      </c>
      <c r="H42" s="409" t="s">
        <v>1323</v>
      </c>
      <c r="I42" s="409" t="s">
        <v>1323</v>
      </c>
      <c r="J42" s="409" t="s">
        <v>2245</v>
      </c>
      <c r="K42" s="835">
        <v>44348</v>
      </c>
      <c r="L42" s="409">
        <v>0</v>
      </c>
      <c r="M42" s="409">
        <v>0</v>
      </c>
      <c r="N42" s="409">
        <v>4.8170000000000002</v>
      </c>
      <c r="O42" s="409">
        <v>4.8170000000000002</v>
      </c>
      <c r="P42" s="409">
        <v>4.8170000000000002</v>
      </c>
      <c r="Q42" s="409">
        <v>4.8170000000000002</v>
      </c>
      <c r="R42" s="409"/>
      <c r="S42" s="409">
        <v>597.01</v>
      </c>
      <c r="T42" s="409">
        <v>243.39</v>
      </c>
      <c r="U42" s="409"/>
      <c r="V42" s="409">
        <v>4048.2067999999999</v>
      </c>
      <c r="W42" s="409">
        <v>4048.2067999999999</v>
      </c>
      <c r="X42" s="409">
        <v>3667.0857600000004</v>
      </c>
      <c r="Y42" s="409">
        <v>0</v>
      </c>
      <c r="Z42" s="409">
        <v>119.86371094985685</v>
      </c>
      <c r="AA42" s="409">
        <v>0</v>
      </c>
      <c r="AB42" s="409">
        <v>0</v>
      </c>
      <c r="AC42" s="409">
        <v>0</v>
      </c>
      <c r="AD42" s="409">
        <v>564.49972904237768</v>
      </c>
      <c r="AE42" s="409">
        <v>1975.1555737826579</v>
      </c>
      <c r="AF42" s="409">
        <v>1172.3963582076599</v>
      </c>
      <c r="AG42" s="409">
        <v>0</v>
      </c>
      <c r="AH42" s="409">
        <v>0</v>
      </c>
      <c r="AI42" s="409">
        <v>0</v>
      </c>
      <c r="AJ42" s="409">
        <v>0</v>
      </c>
      <c r="AK42" s="409">
        <v>0</v>
      </c>
      <c r="AL42" s="409">
        <v>48.936340506014417</v>
      </c>
      <c r="AM42" s="409"/>
      <c r="AN42" s="409">
        <v>8.2701696308972323</v>
      </c>
      <c r="AO42" s="409">
        <v>0</v>
      </c>
      <c r="AP42" s="409">
        <v>0</v>
      </c>
      <c r="AQ42" s="409">
        <v>0</v>
      </c>
      <c r="AR42" s="409">
        <v>0</v>
      </c>
      <c r="AS42" s="409">
        <v>0</v>
      </c>
      <c r="AT42" s="409">
        <v>0</v>
      </c>
      <c r="AU42" s="409">
        <v>0</v>
      </c>
      <c r="AV42" s="409">
        <v>0</v>
      </c>
      <c r="AW42" s="409">
        <v>0</v>
      </c>
      <c r="AX42" s="409">
        <v>0</v>
      </c>
      <c r="AY42" s="409">
        <v>0</v>
      </c>
      <c r="AZ42" s="409">
        <v>0</v>
      </c>
      <c r="BA42" s="409"/>
      <c r="BB42" s="409">
        <v>0</v>
      </c>
      <c r="BC42" s="409">
        <v>0</v>
      </c>
      <c r="BD42" s="409">
        <v>0</v>
      </c>
      <c r="BE42" s="409">
        <v>0</v>
      </c>
      <c r="BF42" s="409">
        <v>0</v>
      </c>
      <c r="BG42" s="409">
        <v>159.05410942186469</v>
      </c>
      <c r="BH42" s="409">
        <v>0</v>
      </c>
      <c r="BI42" s="409">
        <v>0</v>
      </c>
      <c r="BJ42" s="409">
        <v>0</v>
      </c>
      <c r="BK42" s="409">
        <v>0</v>
      </c>
      <c r="BL42" s="409">
        <v>6</v>
      </c>
      <c r="BM42" s="409"/>
      <c r="BN42" s="409"/>
      <c r="BO42" s="409"/>
      <c r="BP42" s="409"/>
      <c r="BQ42" s="409"/>
      <c r="BR42" s="409"/>
      <c r="BS42" s="409"/>
      <c r="BT42" s="409"/>
      <c r="BU42" s="409"/>
      <c r="BV42" s="409">
        <v>1331.4504676295246</v>
      </c>
      <c r="BW42" s="409"/>
      <c r="BX42" s="409"/>
      <c r="BY42" s="409"/>
      <c r="BZ42" s="409"/>
      <c r="CA42" s="409"/>
      <c r="CB42" s="409"/>
      <c r="CC42" s="409"/>
      <c r="CD42" s="409"/>
      <c r="CE42" s="409"/>
      <c r="CF42" s="409"/>
      <c r="CG42" s="409"/>
      <c r="CH42" s="409"/>
      <c r="CI42" s="409">
        <v>3669.3696</v>
      </c>
      <c r="CJ42" s="409">
        <v>-378.86720000000059</v>
      </c>
      <c r="CK42" s="409"/>
      <c r="CL42" s="409"/>
      <c r="CM42" s="409"/>
      <c r="CN42" s="409"/>
      <c r="CO42" s="409">
        <v>-421.87285999999995</v>
      </c>
      <c r="CP42" s="409">
        <v>40.751820000000038</v>
      </c>
      <c r="CQ42" s="409">
        <v>30</v>
      </c>
      <c r="CR42" s="409">
        <v>71.647205443276562</v>
      </c>
      <c r="CS42" s="409">
        <v>0</v>
      </c>
      <c r="CT42" s="409">
        <v>0</v>
      </c>
      <c r="CU42" s="409">
        <v>0</v>
      </c>
      <c r="CV42" s="409">
        <v>0</v>
      </c>
      <c r="CW42" s="409">
        <v>0</v>
      </c>
      <c r="CX42" s="409">
        <v>0</v>
      </c>
      <c r="CY42" s="409">
        <v>0</v>
      </c>
      <c r="CZ42" s="409">
        <v>21.16344383709918</v>
      </c>
      <c r="DA42" s="409">
        <v>0</v>
      </c>
      <c r="DB42" s="409">
        <v>0</v>
      </c>
      <c r="DC42" s="409">
        <v>53.707367846600619</v>
      </c>
      <c r="DD42" s="409">
        <v>0</v>
      </c>
      <c r="DE42" s="409">
        <v>0</v>
      </c>
      <c r="DF42" s="409">
        <v>0</v>
      </c>
      <c r="DG42" s="409">
        <v>7.2862539212358683</v>
      </c>
      <c r="DH42" s="409">
        <v>0</v>
      </c>
      <c r="DI42" s="409">
        <v>-0.87415174684606711</v>
      </c>
      <c r="DJ42" s="409"/>
      <c r="DK42" s="409">
        <v>0</v>
      </c>
      <c r="DL42" s="409">
        <v>0</v>
      </c>
      <c r="DM42" s="409">
        <v>0</v>
      </c>
      <c r="DN42" s="409">
        <v>0</v>
      </c>
      <c r="DO42" s="409">
        <v>-0.27448159557931717</v>
      </c>
      <c r="DP42" s="409">
        <v>-0.48714066174259596</v>
      </c>
      <c r="DQ42" s="409">
        <v>0</v>
      </c>
      <c r="DR42" s="409">
        <v>-8.8740861574909253</v>
      </c>
      <c r="DS42" s="409"/>
      <c r="DT42" s="409"/>
      <c r="DU42" s="409"/>
      <c r="DV42" s="409">
        <v>1975.1555737826579</v>
      </c>
      <c r="DW42" s="409">
        <v>0</v>
      </c>
      <c r="DX42" s="409">
        <v>0</v>
      </c>
      <c r="DY42" s="409">
        <v>-421.87285999999995</v>
      </c>
      <c r="DZ42" s="409">
        <v>40.75182000000018</v>
      </c>
      <c r="EA42" s="409">
        <v>0</v>
      </c>
      <c r="EB42" s="409">
        <v>0</v>
      </c>
      <c r="EC42" s="409">
        <v>-452.75210218896723</v>
      </c>
      <c r="ED42" s="409">
        <v>0</v>
      </c>
      <c r="EE42" s="409">
        <v>0</v>
      </c>
      <c r="EF42" s="409">
        <v>0</v>
      </c>
      <c r="EG42" s="409">
        <v>0</v>
      </c>
      <c r="EH42" s="409">
        <v>0</v>
      </c>
      <c r="EI42" s="409">
        <v>0</v>
      </c>
      <c r="EJ42" s="409">
        <v>0</v>
      </c>
      <c r="EK42" s="409">
        <v>0</v>
      </c>
      <c r="EL42" s="409">
        <v>0</v>
      </c>
      <c r="EM42" s="409">
        <v>0</v>
      </c>
      <c r="EN42" s="409">
        <v>0</v>
      </c>
      <c r="EO42" s="409">
        <v>0</v>
      </c>
      <c r="EP42" s="409">
        <v>0</v>
      </c>
      <c r="EQ42" s="409">
        <v>0</v>
      </c>
      <c r="ER42" s="409">
        <v>0</v>
      </c>
      <c r="ES42" s="409">
        <v>0</v>
      </c>
      <c r="ET42" s="409">
        <v>0</v>
      </c>
      <c r="EU42" s="409">
        <v>0</v>
      </c>
      <c r="EV42" s="409">
        <v>254</v>
      </c>
      <c r="EW42" s="409">
        <v>0</v>
      </c>
      <c r="EX42" s="409">
        <v>0</v>
      </c>
      <c r="EY42" s="409">
        <v>0</v>
      </c>
      <c r="EZ42" s="409"/>
      <c r="FA42" s="409">
        <v>0</v>
      </c>
      <c r="FB42" s="409"/>
      <c r="FC42" s="409"/>
      <c r="FD42" s="409"/>
      <c r="FE42" s="409"/>
      <c r="FF42" s="409">
        <v>0</v>
      </c>
      <c r="FG42" s="409">
        <v>0</v>
      </c>
      <c r="FH42" s="409">
        <v>0</v>
      </c>
      <c r="FI42" s="409">
        <v>0</v>
      </c>
    </row>
    <row r="43" spans="1:165" customFormat="1">
      <c r="A43" s="409">
        <v>41</v>
      </c>
      <c r="B43" s="409" t="s">
        <v>1035</v>
      </c>
      <c r="C43" s="409" t="s">
        <v>2252</v>
      </c>
      <c r="D43" s="409" t="s">
        <v>1994</v>
      </c>
      <c r="E43" s="409" t="s">
        <v>997</v>
      </c>
      <c r="F43" s="409" t="s">
        <v>1323</v>
      </c>
      <c r="G43" s="409" t="s">
        <v>1323</v>
      </c>
      <c r="H43" s="409" t="s">
        <v>1323</v>
      </c>
      <c r="I43" s="409" t="s">
        <v>972</v>
      </c>
      <c r="J43" s="409" t="s">
        <v>2245</v>
      </c>
      <c r="K43" s="835">
        <v>44348</v>
      </c>
      <c r="L43" s="409">
        <v>0</v>
      </c>
      <c r="M43" s="409">
        <v>0</v>
      </c>
      <c r="N43" s="409">
        <v>1.2E-2</v>
      </c>
      <c r="O43" s="409">
        <v>1.2E-2</v>
      </c>
      <c r="P43" s="409">
        <v>1.2E-2</v>
      </c>
      <c r="Q43" s="409">
        <v>1.2E-2</v>
      </c>
      <c r="R43" s="409"/>
      <c r="S43" s="409">
        <v>1783.27</v>
      </c>
      <c r="T43" s="409">
        <v>243.39</v>
      </c>
      <c r="U43" s="409"/>
      <c r="V43" s="409">
        <v>24.31992</v>
      </c>
      <c r="W43" s="409">
        <v>24.31992</v>
      </c>
      <c r="X43" s="409">
        <v>20.971440000000001</v>
      </c>
      <c r="Y43" s="409">
        <v>0</v>
      </c>
      <c r="Z43" s="409">
        <v>0.29860172958237119</v>
      </c>
      <c r="AA43" s="409">
        <v>0</v>
      </c>
      <c r="AB43" s="409">
        <v>0</v>
      </c>
      <c r="AC43" s="409">
        <v>0</v>
      </c>
      <c r="AD43" s="409">
        <v>4.5703759872473402</v>
      </c>
      <c r="AE43" s="409">
        <v>15.9915089353344</v>
      </c>
      <c r="AF43" s="409">
        <v>2.9206469376150959</v>
      </c>
      <c r="AG43" s="409">
        <v>0</v>
      </c>
      <c r="AH43" s="409">
        <v>0</v>
      </c>
      <c r="AI43" s="409">
        <v>0</v>
      </c>
      <c r="AJ43" s="409">
        <v>0</v>
      </c>
      <c r="AK43" s="409">
        <v>0</v>
      </c>
      <c r="AL43" s="409">
        <v>0.121909089904956</v>
      </c>
      <c r="AM43" s="409"/>
      <c r="AN43" s="409">
        <v>2.0602457041886398E-2</v>
      </c>
      <c r="AO43" s="409">
        <v>0</v>
      </c>
      <c r="AP43" s="409">
        <v>0</v>
      </c>
      <c r="AQ43" s="409">
        <v>0</v>
      </c>
      <c r="AR43" s="409">
        <v>0</v>
      </c>
      <c r="AS43" s="409">
        <v>0</v>
      </c>
      <c r="AT43" s="409">
        <v>0</v>
      </c>
      <c r="AU43" s="409">
        <v>0</v>
      </c>
      <c r="AV43" s="409">
        <v>0</v>
      </c>
      <c r="AW43" s="409">
        <v>0</v>
      </c>
      <c r="AX43" s="409">
        <v>0</v>
      </c>
      <c r="AY43" s="409">
        <v>0</v>
      </c>
      <c r="AZ43" s="409">
        <v>0</v>
      </c>
      <c r="BA43" s="409"/>
      <c r="BB43" s="409">
        <v>0</v>
      </c>
      <c r="BC43" s="409">
        <v>0</v>
      </c>
      <c r="BD43" s="409">
        <v>0</v>
      </c>
      <c r="BE43" s="409">
        <v>0</v>
      </c>
      <c r="BF43" s="409">
        <v>0</v>
      </c>
      <c r="BG43" s="409">
        <v>0.39623195205779038</v>
      </c>
      <c r="BH43" s="409">
        <v>0</v>
      </c>
      <c r="BI43" s="409">
        <v>0</v>
      </c>
      <c r="BJ43" s="409">
        <v>0</v>
      </c>
      <c r="BK43" s="409">
        <v>0</v>
      </c>
      <c r="BL43" s="409">
        <v>0</v>
      </c>
      <c r="BM43" s="409"/>
      <c r="BN43" s="409"/>
      <c r="BO43" s="409"/>
      <c r="BP43" s="409"/>
      <c r="BQ43" s="409"/>
      <c r="BR43" s="409"/>
      <c r="BS43" s="409"/>
      <c r="BT43" s="409"/>
      <c r="BU43" s="409"/>
      <c r="BV43" s="409">
        <v>3.3168788896728865</v>
      </c>
      <c r="BW43" s="409"/>
      <c r="BX43" s="409"/>
      <c r="BY43" s="409"/>
      <c r="BZ43" s="409"/>
      <c r="CA43" s="409"/>
      <c r="CB43" s="409"/>
      <c r="CC43" s="409"/>
      <c r="CD43" s="409"/>
      <c r="CE43" s="409"/>
      <c r="CF43" s="409"/>
      <c r="CG43" s="409"/>
      <c r="CH43" s="409"/>
      <c r="CI43" s="409">
        <v>17.476200000000002</v>
      </c>
      <c r="CJ43" s="409">
        <v>-6.8737200000000023</v>
      </c>
      <c r="CK43" s="409"/>
      <c r="CL43" s="409"/>
      <c r="CM43" s="409"/>
      <c r="CN43" s="409"/>
      <c r="CO43" s="409">
        <v>-3.45</v>
      </c>
      <c r="CP43" s="409">
        <v>0.1015200000000001</v>
      </c>
      <c r="CQ43" s="409">
        <v>30</v>
      </c>
      <c r="CR43" s="409">
        <v>0.31720665516410662</v>
      </c>
      <c r="CS43" s="409">
        <v>0</v>
      </c>
      <c r="CT43" s="409">
        <v>0</v>
      </c>
      <c r="CU43" s="409">
        <v>0</v>
      </c>
      <c r="CV43" s="409">
        <v>0</v>
      </c>
      <c r="CW43" s="409">
        <v>0</v>
      </c>
      <c r="CX43" s="409">
        <v>0</v>
      </c>
      <c r="CY43" s="409">
        <v>0</v>
      </c>
      <c r="CZ43" s="409">
        <v>0.17134622134293576</v>
      </c>
      <c r="DA43" s="409">
        <v>0</v>
      </c>
      <c r="DB43" s="409">
        <v>0</v>
      </c>
      <c r="DC43" s="409">
        <v>0.13379456386946398</v>
      </c>
      <c r="DD43" s="409">
        <v>0</v>
      </c>
      <c r="DE43" s="409">
        <v>0</v>
      </c>
      <c r="DF43" s="409">
        <v>0</v>
      </c>
      <c r="DG43" s="409">
        <v>1.8151348776174026E-2</v>
      </c>
      <c r="DH43" s="409">
        <v>0</v>
      </c>
      <c r="DI43" s="409">
        <v>-2.1776667972083774E-3</v>
      </c>
      <c r="DJ43" s="409"/>
      <c r="DK43" s="409">
        <v>0</v>
      </c>
      <c r="DL43" s="409">
        <v>0</v>
      </c>
      <c r="DM43" s="409">
        <v>0</v>
      </c>
      <c r="DN43" s="409">
        <v>0</v>
      </c>
      <c r="DO43" s="409">
        <v>-6.8378226011039933E-4</v>
      </c>
      <c r="DP43" s="409">
        <v>-1.2135536518395572E-3</v>
      </c>
      <c r="DQ43" s="409">
        <v>0</v>
      </c>
      <c r="DR43" s="409">
        <v>-2.0104761153067197E-3</v>
      </c>
      <c r="DS43" s="409"/>
      <c r="DT43" s="409"/>
      <c r="DU43" s="409"/>
      <c r="DV43" s="409">
        <v>15.9915089353344</v>
      </c>
      <c r="DW43" s="409">
        <v>0</v>
      </c>
      <c r="DX43" s="409">
        <v>0</v>
      </c>
      <c r="DY43" s="409">
        <v>-3.4499999999999993</v>
      </c>
      <c r="DZ43" s="409">
        <v>0.10151999999999983</v>
      </c>
      <c r="EA43" s="409">
        <v>0</v>
      </c>
      <c r="EB43" s="409">
        <v>0</v>
      </c>
      <c r="EC43" s="409">
        <v>-3.66562987936212</v>
      </c>
      <c r="ED43" s="409">
        <v>0</v>
      </c>
      <c r="EE43" s="409">
        <v>0</v>
      </c>
      <c r="EF43" s="409">
        <v>0</v>
      </c>
      <c r="EG43" s="409">
        <v>0</v>
      </c>
      <c r="EH43" s="409">
        <v>0</v>
      </c>
      <c r="EI43" s="409">
        <v>0</v>
      </c>
      <c r="EJ43" s="409">
        <v>0</v>
      </c>
      <c r="EK43" s="409">
        <v>0</v>
      </c>
      <c r="EL43" s="409">
        <v>0</v>
      </c>
      <c r="EM43" s="409">
        <v>0</v>
      </c>
      <c r="EN43" s="409">
        <v>0</v>
      </c>
      <c r="EO43" s="409">
        <v>0</v>
      </c>
      <c r="EP43" s="409">
        <v>0</v>
      </c>
      <c r="EQ43" s="409">
        <v>0</v>
      </c>
      <c r="ER43" s="409">
        <v>0</v>
      </c>
      <c r="ES43" s="409">
        <v>0</v>
      </c>
      <c r="ET43" s="409">
        <v>0</v>
      </c>
      <c r="EU43" s="409">
        <v>0</v>
      </c>
      <c r="EV43" s="409">
        <v>254</v>
      </c>
      <c r="EW43" s="409">
        <v>0</v>
      </c>
      <c r="EX43" s="409">
        <v>0</v>
      </c>
      <c r="EY43" s="409">
        <v>0</v>
      </c>
      <c r="EZ43" s="409"/>
      <c r="FA43" s="409">
        <v>0</v>
      </c>
      <c r="FB43" s="409"/>
      <c r="FC43" s="409"/>
      <c r="FD43" s="409"/>
      <c r="FE43" s="409"/>
      <c r="FF43" s="409">
        <v>0</v>
      </c>
      <c r="FG43" s="409">
        <v>0</v>
      </c>
      <c r="FH43" s="409">
        <v>0</v>
      </c>
      <c r="FI43" s="409">
        <v>0</v>
      </c>
    </row>
    <row r="44" spans="1:165" customFormat="1">
      <c r="A44" s="409">
        <v>42</v>
      </c>
      <c r="B44" s="409" t="s">
        <v>1035</v>
      </c>
      <c r="C44" s="409" t="s">
        <v>2252</v>
      </c>
      <c r="D44" s="409" t="s">
        <v>1994</v>
      </c>
      <c r="E44" s="409" t="s">
        <v>997</v>
      </c>
      <c r="F44" s="409" t="s">
        <v>1323</v>
      </c>
      <c r="G44" s="409" t="s">
        <v>1323</v>
      </c>
      <c r="H44" s="409" t="s">
        <v>1323</v>
      </c>
      <c r="I44" s="409" t="s">
        <v>2237</v>
      </c>
      <c r="J44" s="409" t="s">
        <v>2245</v>
      </c>
      <c r="K44" s="835">
        <v>44348</v>
      </c>
      <c r="L44" s="409">
        <v>0</v>
      </c>
      <c r="M44" s="409">
        <v>0</v>
      </c>
      <c r="N44" s="409">
        <v>0.25700000000000001</v>
      </c>
      <c r="O44" s="409">
        <v>0.25700000000000001</v>
      </c>
      <c r="P44" s="409">
        <v>0.25700000000000001</v>
      </c>
      <c r="Q44" s="409">
        <v>0.25700000000000001</v>
      </c>
      <c r="R44" s="409"/>
      <c r="S44" s="409">
        <v>412.48</v>
      </c>
      <c r="T44" s="409">
        <v>243.39</v>
      </c>
      <c r="U44" s="409"/>
      <c r="V44" s="409">
        <v>168.55859000000001</v>
      </c>
      <c r="W44" s="409">
        <v>168.55859000000001</v>
      </c>
      <c r="X44" s="409">
        <v>156.21744999999999</v>
      </c>
      <c r="Y44" s="409">
        <v>0</v>
      </c>
      <c r="Z44" s="409">
        <v>6.3950537085557837</v>
      </c>
      <c r="AA44" s="409">
        <v>0</v>
      </c>
      <c r="AB44" s="409">
        <v>0</v>
      </c>
      <c r="AC44" s="409">
        <v>0</v>
      </c>
      <c r="AD44" s="409">
        <v>19.576752897863621</v>
      </c>
      <c r="AE44" s="409">
        <v>68.496992189239606</v>
      </c>
      <c r="AF44" s="409">
        <v>62.550521913923305</v>
      </c>
      <c r="AG44" s="409">
        <v>0</v>
      </c>
      <c r="AH44" s="409">
        <v>0</v>
      </c>
      <c r="AI44" s="409">
        <v>0</v>
      </c>
      <c r="AJ44" s="409">
        <v>0</v>
      </c>
      <c r="AK44" s="409">
        <v>0</v>
      </c>
      <c r="AL44" s="409">
        <v>2.610886342131141</v>
      </c>
      <c r="AM44" s="409"/>
      <c r="AN44" s="409">
        <v>0.44123595498040041</v>
      </c>
      <c r="AO44" s="409">
        <v>0</v>
      </c>
      <c r="AP44" s="409">
        <v>0</v>
      </c>
      <c r="AQ44" s="409">
        <v>0</v>
      </c>
      <c r="AR44" s="409">
        <v>0</v>
      </c>
      <c r="AS44" s="409">
        <v>0</v>
      </c>
      <c r="AT44" s="409">
        <v>0</v>
      </c>
      <c r="AU44" s="409">
        <v>0</v>
      </c>
      <c r="AV44" s="409">
        <v>0</v>
      </c>
      <c r="AW44" s="409">
        <v>0</v>
      </c>
      <c r="AX44" s="409">
        <v>0</v>
      </c>
      <c r="AY44" s="409">
        <v>0</v>
      </c>
      <c r="AZ44" s="409">
        <v>0</v>
      </c>
      <c r="BA44" s="409"/>
      <c r="BB44" s="409">
        <v>0</v>
      </c>
      <c r="BC44" s="409">
        <v>0</v>
      </c>
      <c r="BD44" s="409">
        <v>0</v>
      </c>
      <c r="BE44" s="409">
        <v>0</v>
      </c>
      <c r="BF44" s="409">
        <v>0</v>
      </c>
      <c r="BG44" s="409">
        <v>8.4859676399043433</v>
      </c>
      <c r="BH44" s="409">
        <v>0</v>
      </c>
      <c r="BI44" s="409">
        <v>0</v>
      </c>
      <c r="BJ44" s="409">
        <v>0</v>
      </c>
      <c r="BK44" s="409">
        <v>0</v>
      </c>
      <c r="BL44" s="409">
        <v>0</v>
      </c>
      <c r="BM44" s="409"/>
      <c r="BN44" s="409"/>
      <c r="BO44" s="409"/>
      <c r="BP44" s="409"/>
      <c r="BQ44" s="409"/>
      <c r="BR44" s="409"/>
      <c r="BS44" s="409"/>
      <c r="BT44" s="409"/>
      <c r="BU44" s="409"/>
      <c r="BV44" s="409">
        <v>71.03648955382765</v>
      </c>
      <c r="BW44" s="409"/>
      <c r="BX44" s="409"/>
      <c r="BY44" s="409"/>
      <c r="BZ44" s="409"/>
      <c r="CA44" s="409"/>
      <c r="CB44" s="409"/>
      <c r="CC44" s="409"/>
      <c r="CD44" s="409"/>
      <c r="CE44" s="409"/>
      <c r="CF44" s="409"/>
      <c r="CG44" s="409"/>
      <c r="CH44" s="409"/>
      <c r="CI44" s="409">
        <v>158.041</v>
      </c>
      <c r="CJ44" s="409">
        <v>-10.547590000000014</v>
      </c>
      <c r="CK44" s="409"/>
      <c r="CL44" s="409"/>
      <c r="CM44" s="409"/>
      <c r="CN44" s="409"/>
      <c r="CO44" s="409">
        <v>-14.515360000000005</v>
      </c>
      <c r="CP44" s="409">
        <v>2.1742200000000023</v>
      </c>
      <c r="CQ44" s="409">
        <v>30</v>
      </c>
      <c r="CR44" s="409">
        <v>3.3604396612770273</v>
      </c>
      <c r="CS44" s="409">
        <v>0</v>
      </c>
      <c r="CT44" s="409">
        <v>0</v>
      </c>
      <c r="CU44" s="409">
        <v>0</v>
      </c>
      <c r="CV44" s="409">
        <v>0</v>
      </c>
      <c r="CW44" s="409">
        <v>0</v>
      </c>
      <c r="CX44" s="409">
        <v>0</v>
      </c>
      <c r="CY44" s="409">
        <v>0</v>
      </c>
      <c r="CZ44" s="409">
        <v>0.73394456923744755</v>
      </c>
      <c r="DA44" s="409">
        <v>0</v>
      </c>
      <c r="DB44" s="409">
        <v>0</v>
      </c>
      <c r="DC44" s="409">
        <v>2.865433576204353</v>
      </c>
      <c r="DD44" s="409">
        <v>0</v>
      </c>
      <c r="DE44" s="409">
        <v>0</v>
      </c>
      <c r="DF44" s="409">
        <v>0</v>
      </c>
      <c r="DG44" s="409">
        <v>0.38874138628972865</v>
      </c>
      <c r="DH44" s="409">
        <v>0</v>
      </c>
      <c r="DI44" s="409">
        <v>-4.6638363906879476E-2</v>
      </c>
      <c r="DJ44" s="409"/>
      <c r="DK44" s="409">
        <v>0</v>
      </c>
      <c r="DL44" s="409">
        <v>0</v>
      </c>
      <c r="DM44" s="409">
        <v>0</v>
      </c>
      <c r="DN44" s="409">
        <v>0</v>
      </c>
      <c r="DO44" s="409">
        <v>-1.4644336737364316E-2</v>
      </c>
      <c r="DP44" s="409">
        <v>-2.599027404356391E-2</v>
      </c>
      <c r="DQ44" s="409">
        <v>0</v>
      </c>
      <c r="DR44" s="409">
        <v>-0.540406895766675</v>
      </c>
      <c r="DS44" s="409"/>
      <c r="DT44" s="409"/>
      <c r="DU44" s="409"/>
      <c r="DV44" s="409">
        <v>68.496992189239606</v>
      </c>
      <c r="DW44" s="409">
        <v>0</v>
      </c>
      <c r="DX44" s="409">
        <v>0</v>
      </c>
      <c r="DY44" s="409">
        <v>-14.515360000000001</v>
      </c>
      <c r="DZ44" s="409">
        <v>2.1742199999999983</v>
      </c>
      <c r="EA44" s="409">
        <v>0</v>
      </c>
      <c r="EB44" s="409">
        <v>0</v>
      </c>
      <c r="EC44" s="409">
        <v>-15.701121278212675</v>
      </c>
      <c r="ED44" s="409">
        <v>0</v>
      </c>
      <c r="EE44" s="409">
        <v>0</v>
      </c>
      <c r="EF44" s="409">
        <v>0</v>
      </c>
      <c r="EG44" s="409">
        <v>0</v>
      </c>
      <c r="EH44" s="409">
        <v>0</v>
      </c>
      <c r="EI44" s="409">
        <v>0</v>
      </c>
      <c r="EJ44" s="409">
        <v>0</v>
      </c>
      <c r="EK44" s="409">
        <v>0</v>
      </c>
      <c r="EL44" s="409">
        <v>0</v>
      </c>
      <c r="EM44" s="409">
        <v>0</v>
      </c>
      <c r="EN44" s="409">
        <v>0</v>
      </c>
      <c r="EO44" s="409">
        <v>0</v>
      </c>
      <c r="EP44" s="409">
        <v>0</v>
      </c>
      <c r="EQ44" s="409">
        <v>0</v>
      </c>
      <c r="ER44" s="409">
        <v>0</v>
      </c>
      <c r="ES44" s="409">
        <v>0</v>
      </c>
      <c r="ET44" s="409">
        <v>0</v>
      </c>
      <c r="EU44" s="409">
        <v>0</v>
      </c>
      <c r="EV44" s="409">
        <v>254</v>
      </c>
      <c r="EW44" s="409">
        <v>0</v>
      </c>
      <c r="EX44" s="409">
        <v>0</v>
      </c>
      <c r="EY44" s="409">
        <v>0</v>
      </c>
      <c r="EZ44" s="409"/>
      <c r="FA44" s="409">
        <v>0</v>
      </c>
      <c r="FB44" s="409"/>
      <c r="FC44" s="409"/>
      <c r="FD44" s="409"/>
      <c r="FE44" s="409"/>
      <c r="FF44" s="409">
        <v>0</v>
      </c>
      <c r="FG44" s="409">
        <v>0</v>
      </c>
      <c r="FH44" s="409">
        <v>0</v>
      </c>
      <c r="FI44" s="409">
        <v>0</v>
      </c>
    </row>
    <row r="45" spans="1:165" customFormat="1">
      <c r="A45" s="409">
        <v>43</v>
      </c>
      <c r="B45" s="409" t="s">
        <v>1035</v>
      </c>
      <c r="C45" s="409" t="s">
        <v>2252</v>
      </c>
      <c r="D45" s="409" t="s">
        <v>1994</v>
      </c>
      <c r="E45" s="409" t="s">
        <v>997</v>
      </c>
      <c r="F45" s="409" t="s">
        <v>1323</v>
      </c>
      <c r="G45" s="409" t="s">
        <v>1323</v>
      </c>
      <c r="H45" s="409" t="s">
        <v>1323</v>
      </c>
      <c r="I45" s="409" t="s">
        <v>1323</v>
      </c>
      <c r="J45" s="409" t="s">
        <v>2245</v>
      </c>
      <c r="K45" s="835">
        <v>44348</v>
      </c>
      <c r="L45" s="409">
        <v>0</v>
      </c>
      <c r="M45" s="409">
        <v>0</v>
      </c>
      <c r="N45" s="409">
        <v>0</v>
      </c>
      <c r="O45" s="409">
        <v>0</v>
      </c>
      <c r="P45" s="409">
        <v>0</v>
      </c>
      <c r="Q45" s="409">
        <v>0</v>
      </c>
      <c r="R45" s="409"/>
      <c r="S45" s="409"/>
      <c r="T45" s="409"/>
      <c r="U45" s="409"/>
      <c r="V45" s="409"/>
      <c r="W45" s="409"/>
      <c r="X45" s="409"/>
      <c r="Y45" s="409"/>
      <c r="Z45" s="409"/>
      <c r="AA45" s="409">
        <v>0</v>
      </c>
      <c r="AB45" s="409"/>
      <c r="AC45" s="409"/>
      <c r="AD45" s="409"/>
      <c r="AE45" s="409"/>
      <c r="AF45" s="409"/>
      <c r="AG45" s="409"/>
      <c r="AH45" s="409"/>
      <c r="AI45" s="409"/>
      <c r="AJ45" s="409"/>
      <c r="AK45" s="409"/>
      <c r="AL45" s="409"/>
      <c r="AM45" s="409"/>
      <c r="AN45" s="409"/>
      <c r="AO45" s="409"/>
      <c r="AP45" s="409"/>
      <c r="AQ45" s="409"/>
      <c r="AR45" s="409"/>
      <c r="AS45" s="409"/>
      <c r="AT45" s="409"/>
      <c r="AU45" s="409"/>
      <c r="AV45" s="409"/>
      <c r="AW45" s="409"/>
      <c r="AX45" s="409"/>
      <c r="AY45" s="409"/>
      <c r="AZ45" s="409">
        <v>0</v>
      </c>
      <c r="BA45" s="409"/>
      <c r="BB45" s="409"/>
      <c r="BC45" s="409"/>
      <c r="BD45" s="409"/>
      <c r="BE45" s="409"/>
      <c r="BF45" s="409"/>
      <c r="BG45" s="409"/>
      <c r="BH45" s="409"/>
      <c r="BI45" s="409">
        <v>0</v>
      </c>
      <c r="BJ45" s="409">
        <v>0</v>
      </c>
      <c r="BK45" s="409">
        <v>0</v>
      </c>
      <c r="BL45" s="409">
        <v>1</v>
      </c>
      <c r="BM45" s="409"/>
      <c r="BN45" s="409"/>
      <c r="BO45" s="409"/>
      <c r="BP45" s="409"/>
      <c r="BQ45" s="409"/>
      <c r="BR45" s="409"/>
      <c r="BS45" s="409"/>
      <c r="BT45" s="409"/>
      <c r="BU45" s="409"/>
      <c r="BV45" s="409"/>
      <c r="BW45" s="409"/>
      <c r="BX45" s="409"/>
      <c r="BY45" s="409"/>
      <c r="BZ45" s="409"/>
      <c r="CA45" s="409"/>
      <c r="CB45" s="409"/>
      <c r="CC45" s="409"/>
      <c r="CD45" s="409"/>
      <c r="CE45" s="409"/>
      <c r="CF45" s="409"/>
      <c r="CG45" s="409"/>
      <c r="CH45" s="409"/>
      <c r="CI45" s="409"/>
      <c r="CJ45" s="409">
        <v>-0.03</v>
      </c>
      <c r="CK45" s="409"/>
      <c r="CL45" s="409"/>
      <c r="CM45" s="409"/>
      <c r="CN45" s="409"/>
      <c r="CO45" s="409">
        <v>0</v>
      </c>
      <c r="CP45" s="409">
        <v>0</v>
      </c>
      <c r="CQ45" s="409">
        <v>30</v>
      </c>
      <c r="CR45" s="409"/>
      <c r="CS45" s="409"/>
      <c r="CT45" s="409"/>
      <c r="CU45" s="409"/>
      <c r="CV45" s="409"/>
      <c r="CW45" s="409"/>
      <c r="CX45" s="409"/>
      <c r="CY45" s="409"/>
      <c r="CZ45" s="409"/>
      <c r="DA45" s="409"/>
      <c r="DB45" s="409"/>
      <c r="DC45" s="409"/>
      <c r="DD45" s="409"/>
      <c r="DE45" s="409"/>
      <c r="DF45" s="409"/>
      <c r="DG45" s="409"/>
      <c r="DH45" s="409"/>
      <c r="DI45" s="409"/>
      <c r="DJ45" s="409"/>
      <c r="DK45" s="409">
        <v>0</v>
      </c>
      <c r="DL45" s="409"/>
      <c r="DM45" s="409"/>
      <c r="DN45" s="409"/>
      <c r="DO45" s="409"/>
      <c r="DP45" s="409"/>
      <c r="DQ45" s="409"/>
      <c r="DR45" s="409"/>
      <c r="DS45" s="409"/>
      <c r="DT45" s="409"/>
      <c r="DU45" s="409"/>
      <c r="DV45" s="409"/>
      <c r="DW45" s="409"/>
      <c r="DX45" s="409"/>
      <c r="DY45" s="409"/>
      <c r="DZ45" s="409"/>
      <c r="EA45" s="409"/>
      <c r="EB45" s="409"/>
      <c r="EC45" s="409"/>
      <c r="ED45" s="409"/>
      <c r="EE45" s="409"/>
      <c r="EF45" s="409"/>
      <c r="EG45" s="409"/>
      <c r="EH45" s="409"/>
      <c r="EI45" s="409"/>
      <c r="EJ45" s="409"/>
      <c r="EK45" s="409"/>
      <c r="EL45" s="409"/>
      <c r="EM45" s="409"/>
      <c r="EN45" s="409"/>
      <c r="EO45" s="409"/>
      <c r="EP45" s="409"/>
      <c r="EQ45" s="409"/>
      <c r="ER45" s="409"/>
      <c r="ES45" s="409"/>
      <c r="ET45" s="409"/>
      <c r="EU45" s="409"/>
      <c r="EV45" s="409">
        <v>254</v>
      </c>
      <c r="EW45" s="409"/>
      <c r="EX45" s="409"/>
      <c r="EY45" s="409"/>
      <c r="EZ45" s="409"/>
      <c r="FA45" s="409">
        <v>0</v>
      </c>
      <c r="FB45" s="409"/>
      <c r="FC45" s="409"/>
      <c r="FD45" s="409"/>
      <c r="FE45" s="409"/>
      <c r="FF45" s="409">
        <v>0</v>
      </c>
      <c r="FG45" s="409">
        <v>0</v>
      </c>
      <c r="FH45" s="409">
        <v>0</v>
      </c>
      <c r="FI45" s="409">
        <v>0</v>
      </c>
    </row>
    <row r="46" spans="1:165" customFormat="1">
      <c r="A46" s="409">
        <v>44</v>
      </c>
      <c r="B46" s="409" t="s">
        <v>1035</v>
      </c>
      <c r="C46" s="409" t="s">
        <v>2252</v>
      </c>
      <c r="D46" s="409" t="s">
        <v>1994</v>
      </c>
      <c r="E46" s="409" t="s">
        <v>997</v>
      </c>
      <c r="F46" s="409" t="s">
        <v>1323</v>
      </c>
      <c r="G46" s="409" t="s">
        <v>1323</v>
      </c>
      <c r="H46" s="409" t="s">
        <v>1323</v>
      </c>
      <c r="I46" s="409" t="s">
        <v>2253</v>
      </c>
      <c r="J46" s="409" t="s">
        <v>2245</v>
      </c>
      <c r="K46" s="835">
        <v>44348</v>
      </c>
      <c r="L46" s="409">
        <v>0</v>
      </c>
      <c r="M46" s="409">
        <v>0</v>
      </c>
      <c r="N46" s="409">
        <v>8.9999999999999993E-3</v>
      </c>
      <c r="O46" s="409">
        <v>8.9999999999999993E-3</v>
      </c>
      <c r="P46" s="409">
        <v>8.9999999999999993E-3</v>
      </c>
      <c r="Q46" s="409">
        <v>8.9999999999999993E-3</v>
      </c>
      <c r="R46" s="409"/>
      <c r="S46" s="409">
        <v>1097.8699999999999</v>
      </c>
      <c r="T46" s="409">
        <v>243.39</v>
      </c>
      <c r="U46" s="409"/>
      <c r="V46" s="409">
        <v>12.071339999999998</v>
      </c>
      <c r="W46" s="409">
        <v>12.071339999999998</v>
      </c>
      <c r="X46" s="409">
        <v>10.59957</v>
      </c>
      <c r="Y46" s="409">
        <v>0</v>
      </c>
      <c r="Z46" s="409">
        <v>0.22395129718677839</v>
      </c>
      <c r="AA46" s="409">
        <v>0</v>
      </c>
      <c r="AB46" s="409">
        <v>0</v>
      </c>
      <c r="AC46" s="409">
        <v>0</v>
      </c>
      <c r="AD46" s="409">
        <v>2.0566850139785608</v>
      </c>
      <c r="AE46" s="409">
        <v>7.1961778394983442</v>
      </c>
      <c r="AF46" s="409">
        <v>2.1904852032113218</v>
      </c>
      <c r="AG46" s="409">
        <v>0</v>
      </c>
      <c r="AH46" s="409">
        <v>0</v>
      </c>
      <c r="AI46" s="409">
        <v>0</v>
      </c>
      <c r="AJ46" s="409">
        <v>0</v>
      </c>
      <c r="AK46" s="409">
        <v>0</v>
      </c>
      <c r="AL46" s="409">
        <v>9.1431817428716991E-2</v>
      </c>
      <c r="AM46" s="409"/>
      <c r="AN46" s="409">
        <v>1.5451842781414798E-2</v>
      </c>
      <c r="AO46" s="409">
        <v>0</v>
      </c>
      <c r="AP46" s="409">
        <v>0</v>
      </c>
      <c r="AQ46" s="409">
        <v>0</v>
      </c>
      <c r="AR46" s="409">
        <v>0</v>
      </c>
      <c r="AS46" s="409">
        <v>0</v>
      </c>
      <c r="AT46" s="409">
        <v>0</v>
      </c>
      <c r="AU46" s="409">
        <v>0</v>
      </c>
      <c r="AV46" s="409">
        <v>0</v>
      </c>
      <c r="AW46" s="409">
        <v>0</v>
      </c>
      <c r="AX46" s="409">
        <v>0</v>
      </c>
      <c r="AY46" s="409">
        <v>0</v>
      </c>
      <c r="AZ46" s="409">
        <v>0</v>
      </c>
      <c r="BA46" s="409"/>
      <c r="BB46" s="409">
        <v>0</v>
      </c>
      <c r="BC46" s="409">
        <v>0</v>
      </c>
      <c r="BD46" s="409">
        <v>0</v>
      </c>
      <c r="BE46" s="409">
        <v>0</v>
      </c>
      <c r="BF46" s="409">
        <v>0</v>
      </c>
      <c r="BG46" s="409">
        <v>0.29717396404334279</v>
      </c>
      <c r="BH46" s="409">
        <v>0</v>
      </c>
      <c r="BI46" s="409">
        <v>0</v>
      </c>
      <c r="BJ46" s="409">
        <v>0</v>
      </c>
      <c r="BK46" s="409">
        <v>0</v>
      </c>
      <c r="BL46" s="409">
        <v>0</v>
      </c>
      <c r="BM46" s="409"/>
      <c r="BN46" s="409"/>
      <c r="BO46" s="409"/>
      <c r="BP46" s="409"/>
      <c r="BQ46" s="409"/>
      <c r="BR46" s="409"/>
      <c r="BS46" s="409"/>
      <c r="BT46" s="409"/>
      <c r="BU46" s="409"/>
      <c r="BV46" s="409">
        <v>2.4876591672546646</v>
      </c>
      <c r="BW46" s="409"/>
      <c r="BX46" s="409"/>
      <c r="BY46" s="409"/>
      <c r="BZ46" s="409"/>
      <c r="CA46" s="409"/>
      <c r="CB46" s="409"/>
      <c r="CC46" s="409"/>
      <c r="CD46" s="409"/>
      <c r="CE46" s="409"/>
      <c r="CF46" s="409"/>
      <c r="CG46" s="409"/>
      <c r="CH46" s="409"/>
      <c r="CI46" s="409">
        <v>11.7773</v>
      </c>
      <c r="CJ46" s="409">
        <v>-0.32403999999999655</v>
      </c>
      <c r="CK46" s="409"/>
      <c r="CL46" s="409"/>
      <c r="CM46" s="409"/>
      <c r="CN46" s="409"/>
      <c r="CO46" s="409">
        <v>-1.547909999999999</v>
      </c>
      <c r="CP46" s="409">
        <v>7.6140000000000069E-2</v>
      </c>
      <c r="CQ46" s="409">
        <v>30</v>
      </c>
      <c r="CR46" s="409">
        <v>0.17779328136251582</v>
      </c>
      <c r="CS46" s="409">
        <v>0</v>
      </c>
      <c r="CT46" s="409">
        <v>0</v>
      </c>
      <c r="CU46" s="409">
        <v>0</v>
      </c>
      <c r="CV46" s="409">
        <v>0</v>
      </c>
      <c r="CW46" s="409">
        <v>0</v>
      </c>
      <c r="CX46" s="409">
        <v>0</v>
      </c>
      <c r="CY46" s="409">
        <v>0</v>
      </c>
      <c r="CZ46" s="409">
        <v>7.7106392695304837E-2</v>
      </c>
      <c r="DA46" s="409">
        <v>0</v>
      </c>
      <c r="DB46" s="409">
        <v>0</v>
      </c>
      <c r="DC46" s="409">
        <v>0.10034592290209776</v>
      </c>
      <c r="DD46" s="409">
        <v>0</v>
      </c>
      <c r="DE46" s="409">
        <v>0</v>
      </c>
      <c r="DF46" s="409">
        <v>0</v>
      </c>
      <c r="DG46" s="409">
        <v>1.3613511582130533E-2</v>
      </c>
      <c r="DH46" s="409">
        <v>0</v>
      </c>
      <c r="DI46" s="409">
        <v>-1.6332500979062969E-3</v>
      </c>
      <c r="DJ46" s="409"/>
      <c r="DK46" s="409">
        <v>0</v>
      </c>
      <c r="DL46" s="409">
        <v>0</v>
      </c>
      <c r="DM46" s="409">
        <v>0</v>
      </c>
      <c r="DN46" s="409">
        <v>0</v>
      </c>
      <c r="DO46" s="409">
        <v>-5.128366950827995E-4</v>
      </c>
      <c r="DP46" s="409">
        <v>-9.1016523887966876E-4</v>
      </c>
      <c r="DQ46" s="409">
        <v>0</v>
      </c>
      <c r="DR46" s="409">
        <v>-1.0216293785148147E-2</v>
      </c>
      <c r="DS46" s="409"/>
      <c r="DT46" s="409"/>
      <c r="DU46" s="409"/>
      <c r="DV46" s="409">
        <v>7.1961778394983442</v>
      </c>
      <c r="DW46" s="409">
        <v>0</v>
      </c>
      <c r="DX46" s="409">
        <v>0</v>
      </c>
      <c r="DY46" s="409">
        <v>-1.5479099999999981</v>
      </c>
      <c r="DZ46" s="409">
        <v>7.6140000000000096E-2</v>
      </c>
      <c r="EA46" s="409">
        <v>0</v>
      </c>
      <c r="EB46" s="409">
        <v>0</v>
      </c>
      <c r="EC46" s="409">
        <v>-1.6495331749077966</v>
      </c>
      <c r="ED46" s="409">
        <v>0</v>
      </c>
      <c r="EE46" s="409">
        <v>0</v>
      </c>
      <c r="EF46" s="409">
        <v>0</v>
      </c>
      <c r="EG46" s="409">
        <v>0</v>
      </c>
      <c r="EH46" s="409">
        <v>0</v>
      </c>
      <c r="EI46" s="409">
        <v>0</v>
      </c>
      <c r="EJ46" s="409">
        <v>0</v>
      </c>
      <c r="EK46" s="409">
        <v>0</v>
      </c>
      <c r="EL46" s="409">
        <v>0</v>
      </c>
      <c r="EM46" s="409">
        <v>0</v>
      </c>
      <c r="EN46" s="409">
        <v>0</v>
      </c>
      <c r="EO46" s="409">
        <v>0</v>
      </c>
      <c r="EP46" s="409">
        <v>0</v>
      </c>
      <c r="EQ46" s="409">
        <v>0</v>
      </c>
      <c r="ER46" s="409">
        <v>0</v>
      </c>
      <c r="ES46" s="409">
        <v>0</v>
      </c>
      <c r="ET46" s="409">
        <v>0</v>
      </c>
      <c r="EU46" s="409">
        <v>0</v>
      </c>
      <c r="EV46" s="409">
        <v>254</v>
      </c>
      <c r="EW46" s="409">
        <v>0</v>
      </c>
      <c r="EX46" s="409">
        <v>0</v>
      </c>
      <c r="EY46" s="409">
        <v>0</v>
      </c>
      <c r="EZ46" s="409"/>
      <c r="FA46" s="409">
        <v>0</v>
      </c>
      <c r="FB46" s="409"/>
      <c r="FC46" s="409"/>
      <c r="FD46" s="409"/>
      <c r="FE46" s="409"/>
      <c r="FF46" s="409">
        <v>0</v>
      </c>
      <c r="FG46" s="409">
        <v>0</v>
      </c>
      <c r="FH46" s="409">
        <v>0</v>
      </c>
      <c r="FI46" s="409">
        <v>0</v>
      </c>
    </row>
    <row r="47" spans="1:165" customFormat="1">
      <c r="A47" s="409">
        <v>45</v>
      </c>
      <c r="B47" s="409" t="s">
        <v>1035</v>
      </c>
      <c r="C47" s="409" t="s">
        <v>2244</v>
      </c>
      <c r="D47" s="409" t="s">
        <v>2254</v>
      </c>
      <c r="E47" s="409" t="s">
        <v>973</v>
      </c>
      <c r="F47" s="409" t="s">
        <v>1323</v>
      </c>
      <c r="G47" s="409" t="s">
        <v>1323</v>
      </c>
      <c r="H47" s="409" t="s">
        <v>1323</v>
      </c>
      <c r="I47" s="409" t="s">
        <v>1323</v>
      </c>
      <c r="J47" s="409" t="s">
        <v>2245</v>
      </c>
      <c r="K47" s="835">
        <v>44348</v>
      </c>
      <c r="L47" s="409">
        <v>0</v>
      </c>
      <c r="M47" s="409">
        <v>0</v>
      </c>
      <c r="N47" s="409">
        <v>202.642</v>
      </c>
      <c r="O47" s="409">
        <v>202.642</v>
      </c>
      <c r="P47" s="409">
        <v>202.642</v>
      </c>
      <c r="Q47" s="409">
        <v>202.642</v>
      </c>
      <c r="R47" s="409"/>
      <c r="S47" s="409">
        <v>597.01</v>
      </c>
      <c r="T47" s="409">
        <v>243.39</v>
      </c>
      <c r="U47" s="409"/>
      <c r="V47" s="409">
        <v>170300.33679999999</v>
      </c>
      <c r="W47" s="409">
        <v>170300.33679999999</v>
      </c>
      <c r="X47" s="409">
        <v>154267.30176</v>
      </c>
      <c r="Y47" s="409">
        <v>0</v>
      </c>
      <c r="Z47" s="409">
        <v>5042.4376405025723</v>
      </c>
      <c r="AA47" s="409">
        <v>0</v>
      </c>
      <c r="AB47" s="409">
        <v>0</v>
      </c>
      <c r="AC47" s="409">
        <v>0</v>
      </c>
      <c r="AD47" s="409">
        <v>23747.426633299874</v>
      </c>
      <c r="AE47" s="409">
        <v>83091.026734993851</v>
      </c>
      <c r="AF47" s="409">
        <v>49320.478061016518</v>
      </c>
      <c r="AG47" s="409">
        <v>0</v>
      </c>
      <c r="AH47" s="409">
        <v>0</v>
      </c>
      <c r="AI47" s="409">
        <v>0</v>
      </c>
      <c r="AJ47" s="409">
        <v>0</v>
      </c>
      <c r="AK47" s="409">
        <v>0</v>
      </c>
      <c r="AL47" s="409">
        <v>2058.6584830433408</v>
      </c>
      <c r="AM47" s="409"/>
      <c r="AN47" s="409">
        <v>347.91025832349533</v>
      </c>
      <c r="AO47" s="409">
        <v>0</v>
      </c>
      <c r="AP47" s="409">
        <v>0</v>
      </c>
      <c r="AQ47" s="409">
        <v>0</v>
      </c>
      <c r="AR47" s="409">
        <v>0</v>
      </c>
      <c r="AS47" s="409">
        <v>0</v>
      </c>
      <c r="AT47" s="409">
        <v>0</v>
      </c>
      <c r="AU47" s="409">
        <v>0</v>
      </c>
      <c r="AV47" s="409">
        <v>0</v>
      </c>
      <c r="AW47" s="409">
        <v>0</v>
      </c>
      <c r="AX47" s="409">
        <v>0</v>
      </c>
      <c r="AY47" s="409">
        <v>0</v>
      </c>
      <c r="AZ47" s="409">
        <v>0</v>
      </c>
      <c r="BA47" s="409"/>
      <c r="BB47" s="409">
        <v>0</v>
      </c>
      <c r="BC47" s="409">
        <v>0</v>
      </c>
      <c r="BD47" s="409">
        <v>0</v>
      </c>
      <c r="BE47" s="409">
        <v>0</v>
      </c>
      <c r="BF47" s="409">
        <v>0</v>
      </c>
      <c r="BG47" s="409">
        <v>6691.1029357412299</v>
      </c>
      <c r="BH47" s="409">
        <v>0</v>
      </c>
      <c r="BI47" s="409">
        <v>101.81</v>
      </c>
      <c r="BJ47" s="409">
        <v>469.7</v>
      </c>
      <c r="BK47" s="409">
        <v>0</v>
      </c>
      <c r="BL47" s="409">
        <v>1812</v>
      </c>
      <c r="BM47" s="409"/>
      <c r="BN47" s="409"/>
      <c r="BO47" s="409"/>
      <c r="BP47" s="409"/>
      <c r="BQ47" s="409"/>
      <c r="BR47" s="409">
        <v>18513.373119999997</v>
      </c>
      <c r="BS47" s="409"/>
      <c r="BT47" s="409"/>
      <c r="BU47" s="409"/>
      <c r="BV47" s="409">
        <v>56011.580996757752</v>
      </c>
      <c r="BW47" s="409"/>
      <c r="BX47" s="409"/>
      <c r="BY47" s="409"/>
      <c r="BZ47" s="409"/>
      <c r="CA47" s="409"/>
      <c r="CB47" s="409"/>
      <c r="CC47" s="409"/>
      <c r="CD47" s="409"/>
      <c r="CE47" s="409"/>
      <c r="CF47" s="409"/>
      <c r="CG47" s="409"/>
      <c r="CH47" s="409"/>
      <c r="CI47" s="409">
        <v>135752.5888</v>
      </c>
      <c r="CJ47" s="409">
        <v>-14111.33229999998</v>
      </c>
      <c r="CK47" s="409"/>
      <c r="CL47" s="409"/>
      <c r="CM47" s="409"/>
      <c r="CN47" s="409"/>
      <c r="CO47" s="409">
        <v>-17747.386359999997</v>
      </c>
      <c r="CP47" s="409">
        <v>1714.3513200000016</v>
      </c>
      <c r="CQ47" s="409">
        <v>30</v>
      </c>
      <c r="CR47" s="409">
        <v>3014.0612425651925</v>
      </c>
      <c r="CS47" s="409">
        <v>0</v>
      </c>
      <c r="CT47" s="409">
        <v>0</v>
      </c>
      <c r="CU47" s="409">
        <v>0</v>
      </c>
      <c r="CV47" s="409">
        <v>0</v>
      </c>
      <c r="CW47" s="409">
        <v>0</v>
      </c>
      <c r="CX47" s="409">
        <v>0</v>
      </c>
      <c r="CY47" s="409">
        <v>0</v>
      </c>
      <c r="CZ47" s="409">
        <v>890.30570604887907</v>
      </c>
      <c r="DA47" s="409">
        <v>0</v>
      </c>
      <c r="DB47" s="409">
        <v>0</v>
      </c>
      <c r="DC47" s="409">
        <v>2259.3665009696633</v>
      </c>
      <c r="DD47" s="409">
        <v>0</v>
      </c>
      <c r="DE47" s="409">
        <v>0</v>
      </c>
      <c r="DF47" s="409">
        <v>0</v>
      </c>
      <c r="DG47" s="409">
        <v>306.51880155845447</v>
      </c>
      <c r="DH47" s="409">
        <v>0</v>
      </c>
      <c r="DI47" s="409">
        <v>-36.773896259992398</v>
      </c>
      <c r="DJ47" s="409"/>
      <c r="DK47" s="409">
        <v>0</v>
      </c>
      <c r="DL47" s="409">
        <v>0</v>
      </c>
      <c r="DM47" s="409">
        <v>0</v>
      </c>
      <c r="DN47" s="409">
        <v>0</v>
      </c>
      <c r="DO47" s="409">
        <v>-11.546917062774128</v>
      </c>
      <c r="DP47" s="409">
        <v>-20.4930782596727</v>
      </c>
      <c r="DQ47" s="409">
        <v>0</v>
      </c>
      <c r="DR47" s="409">
        <v>-373.31587442937018</v>
      </c>
      <c r="DS47" s="409"/>
      <c r="DT47" s="409"/>
      <c r="DU47" s="409"/>
      <c r="DV47" s="409">
        <v>83091.026734993851</v>
      </c>
      <c r="DW47" s="409">
        <v>0</v>
      </c>
      <c r="DX47" s="409">
        <v>0</v>
      </c>
      <c r="DY47" s="409">
        <v>-17747.386360000004</v>
      </c>
      <c r="DZ47" s="409">
        <v>1714.3513200000016</v>
      </c>
      <c r="EA47" s="409">
        <v>0</v>
      </c>
      <c r="EB47" s="409">
        <v>0</v>
      </c>
      <c r="EC47" s="409">
        <v>-19046.417166654915</v>
      </c>
      <c r="ED47" s="409">
        <v>0</v>
      </c>
      <c r="EE47" s="409">
        <v>0</v>
      </c>
      <c r="EF47" s="409">
        <v>0</v>
      </c>
      <c r="EG47" s="409">
        <v>0</v>
      </c>
      <c r="EH47" s="409">
        <v>0</v>
      </c>
      <c r="EI47" s="409">
        <v>0</v>
      </c>
      <c r="EJ47" s="409">
        <v>0</v>
      </c>
      <c r="EK47" s="409">
        <v>0</v>
      </c>
      <c r="EL47" s="409">
        <v>0</v>
      </c>
      <c r="EM47" s="409">
        <v>0</v>
      </c>
      <c r="EN47" s="409">
        <v>0</v>
      </c>
      <c r="EO47" s="409">
        <v>0</v>
      </c>
      <c r="EP47" s="409">
        <v>0</v>
      </c>
      <c r="EQ47" s="409">
        <v>0</v>
      </c>
      <c r="ER47" s="409">
        <v>0</v>
      </c>
      <c r="ES47" s="409">
        <v>0</v>
      </c>
      <c r="ET47" s="409">
        <v>0</v>
      </c>
      <c r="EU47" s="409">
        <v>0</v>
      </c>
      <c r="EV47" s="409">
        <v>254</v>
      </c>
      <c r="EW47" s="409">
        <v>0</v>
      </c>
      <c r="EX47" s="409">
        <v>0</v>
      </c>
      <c r="EY47" s="409">
        <v>0</v>
      </c>
      <c r="EZ47" s="409"/>
      <c r="FA47" s="409">
        <v>0</v>
      </c>
      <c r="FB47" s="409"/>
      <c r="FC47" s="409"/>
      <c r="FD47" s="409"/>
      <c r="FE47" s="409"/>
      <c r="FF47" s="409">
        <v>0</v>
      </c>
      <c r="FG47" s="409">
        <v>0</v>
      </c>
      <c r="FH47" s="409">
        <v>0</v>
      </c>
      <c r="FI47" s="409">
        <v>0</v>
      </c>
    </row>
    <row r="48" spans="1:165" customFormat="1">
      <c r="A48" s="409">
        <v>46</v>
      </c>
      <c r="B48" s="409" t="s">
        <v>2246</v>
      </c>
      <c r="C48" s="409" t="s">
        <v>2244</v>
      </c>
      <c r="D48" s="409" t="s">
        <v>2254</v>
      </c>
      <c r="E48" s="409" t="s">
        <v>973</v>
      </c>
      <c r="F48" s="409" t="s">
        <v>1323</v>
      </c>
      <c r="G48" s="409" t="s">
        <v>1323</v>
      </c>
      <c r="H48" s="409" t="s">
        <v>1323</v>
      </c>
      <c r="I48" s="409" t="s">
        <v>1323</v>
      </c>
      <c r="J48" s="409" t="s">
        <v>2245</v>
      </c>
      <c r="K48" s="835">
        <v>44348</v>
      </c>
      <c r="L48" s="409">
        <v>0</v>
      </c>
      <c r="M48" s="409">
        <v>0</v>
      </c>
      <c r="N48" s="409">
        <v>1.649</v>
      </c>
      <c r="O48" s="409">
        <v>1.649</v>
      </c>
      <c r="P48" s="409">
        <v>1.649</v>
      </c>
      <c r="Q48" s="409">
        <v>1.649</v>
      </c>
      <c r="R48" s="409"/>
      <c r="S48" s="409">
        <v>597.01</v>
      </c>
      <c r="T48" s="409">
        <v>243.39</v>
      </c>
      <c r="U48" s="409"/>
      <c r="V48" s="409">
        <v>1385.8195999999998</v>
      </c>
      <c r="W48" s="409">
        <v>1385.8195999999998</v>
      </c>
      <c r="X48" s="409">
        <v>1255.3507199999999</v>
      </c>
      <c r="Y48" s="409">
        <v>0</v>
      </c>
      <c r="Z48" s="409">
        <v>41.032854340110845</v>
      </c>
      <c r="AA48" s="409">
        <v>0</v>
      </c>
      <c r="AB48" s="409">
        <v>0</v>
      </c>
      <c r="AC48" s="409">
        <v>0</v>
      </c>
      <c r="AD48" s="409">
        <v>193.2447691905503</v>
      </c>
      <c r="AE48" s="409">
        <v>676.15352733394298</v>
      </c>
      <c r="AF48" s="409">
        <v>401.34556667727446</v>
      </c>
      <c r="AG48" s="409">
        <v>0</v>
      </c>
      <c r="AH48" s="409">
        <v>0</v>
      </c>
      <c r="AI48" s="409">
        <v>0</v>
      </c>
      <c r="AJ48" s="409">
        <v>0</v>
      </c>
      <c r="AK48" s="409">
        <v>0</v>
      </c>
      <c r="AL48" s="409">
        <v>16.752340771106034</v>
      </c>
      <c r="AM48" s="409"/>
      <c r="AN48" s="409">
        <v>2.8311209718392227</v>
      </c>
      <c r="AO48" s="409">
        <v>0</v>
      </c>
      <c r="AP48" s="409">
        <v>0</v>
      </c>
      <c r="AQ48" s="409">
        <v>0</v>
      </c>
      <c r="AR48" s="409">
        <v>0</v>
      </c>
      <c r="AS48" s="409">
        <v>0</v>
      </c>
      <c r="AT48" s="409">
        <v>0</v>
      </c>
      <c r="AU48" s="409">
        <v>0</v>
      </c>
      <c r="AV48" s="409">
        <v>0</v>
      </c>
      <c r="AW48" s="409">
        <v>0</v>
      </c>
      <c r="AX48" s="409">
        <v>0</v>
      </c>
      <c r="AY48" s="409">
        <v>0</v>
      </c>
      <c r="AZ48" s="409">
        <v>0</v>
      </c>
      <c r="BA48" s="409"/>
      <c r="BB48" s="409">
        <v>0</v>
      </c>
      <c r="BC48" s="409">
        <v>0</v>
      </c>
      <c r="BD48" s="409">
        <v>0</v>
      </c>
      <c r="BE48" s="409">
        <v>0</v>
      </c>
      <c r="BF48" s="409">
        <v>0</v>
      </c>
      <c r="BG48" s="409">
        <v>54.448874078608029</v>
      </c>
      <c r="BH48" s="409">
        <v>0</v>
      </c>
      <c r="BI48" s="409">
        <v>0</v>
      </c>
      <c r="BJ48" s="409">
        <v>0</v>
      </c>
      <c r="BK48" s="409">
        <v>0</v>
      </c>
      <c r="BL48" s="409">
        <v>5</v>
      </c>
      <c r="BM48" s="409"/>
      <c r="BN48" s="409"/>
      <c r="BO48" s="409"/>
      <c r="BP48" s="409"/>
      <c r="BQ48" s="409"/>
      <c r="BR48" s="409">
        <v>150.65263999999996</v>
      </c>
      <c r="BS48" s="409"/>
      <c r="BT48" s="409"/>
      <c r="BU48" s="409"/>
      <c r="BV48" s="409">
        <v>455.79444075588248</v>
      </c>
      <c r="BW48" s="409"/>
      <c r="BX48" s="409"/>
      <c r="BY48" s="409"/>
      <c r="BZ48" s="409"/>
      <c r="CA48" s="409"/>
      <c r="CB48" s="409"/>
      <c r="CC48" s="409"/>
      <c r="CD48" s="409"/>
      <c r="CE48" s="409"/>
      <c r="CF48" s="409"/>
      <c r="CG48" s="409"/>
      <c r="CH48" s="409"/>
      <c r="CI48" s="409">
        <v>1105.3679999999999</v>
      </c>
      <c r="CJ48" s="409">
        <v>-114.17994999999996</v>
      </c>
      <c r="CK48" s="409"/>
      <c r="CL48" s="409"/>
      <c r="CM48" s="409"/>
      <c r="CN48" s="409"/>
      <c r="CO48" s="409">
        <v>-144.41941999999997</v>
      </c>
      <c r="CP48" s="409">
        <v>13.950540000000013</v>
      </c>
      <c r="CQ48" s="409">
        <v>30</v>
      </c>
      <c r="CR48" s="409">
        <v>24.526934144895677</v>
      </c>
      <c r="CS48" s="409">
        <v>0</v>
      </c>
      <c r="CT48" s="409">
        <v>0</v>
      </c>
      <c r="CU48" s="409">
        <v>0</v>
      </c>
      <c r="CV48" s="409">
        <v>0</v>
      </c>
      <c r="CW48" s="409">
        <v>0</v>
      </c>
      <c r="CX48" s="409">
        <v>0</v>
      </c>
      <c r="CY48" s="409">
        <v>0</v>
      </c>
      <c r="CZ48" s="409">
        <v>7.2448658682533846</v>
      </c>
      <c r="DA48" s="409">
        <v>0</v>
      </c>
      <c r="DB48" s="409">
        <v>0</v>
      </c>
      <c r="DC48" s="409">
        <v>18.385602985062178</v>
      </c>
      <c r="DD48" s="409">
        <v>0</v>
      </c>
      <c r="DE48" s="409">
        <v>0</v>
      </c>
      <c r="DF48" s="409">
        <v>0</v>
      </c>
      <c r="DG48" s="409">
        <v>2.4942978443259136</v>
      </c>
      <c r="DH48" s="409">
        <v>0</v>
      </c>
      <c r="DI48" s="409">
        <v>-0.29924771238305681</v>
      </c>
      <c r="DJ48" s="409"/>
      <c r="DK48" s="409">
        <v>0</v>
      </c>
      <c r="DL48" s="409">
        <v>0</v>
      </c>
      <c r="DM48" s="409">
        <v>0</v>
      </c>
      <c r="DN48" s="409">
        <v>0</v>
      </c>
      <c r="DO48" s="409">
        <v>-9.3963078910167752E-2</v>
      </c>
      <c r="DP48" s="409">
        <v>-0.16676249765695284</v>
      </c>
      <c r="DQ48" s="409">
        <v>0</v>
      </c>
      <c r="DR48" s="409">
        <v>-3.0378592637954203</v>
      </c>
      <c r="DS48" s="409"/>
      <c r="DT48" s="409"/>
      <c r="DU48" s="409"/>
      <c r="DV48" s="409">
        <v>676.15352733394298</v>
      </c>
      <c r="DW48" s="409">
        <v>0</v>
      </c>
      <c r="DX48" s="409">
        <v>0</v>
      </c>
      <c r="DY48" s="409">
        <v>-144.41941999999995</v>
      </c>
      <c r="DZ48" s="409">
        <v>13.950540000000046</v>
      </c>
      <c r="EA48" s="409">
        <v>0</v>
      </c>
      <c r="EB48" s="409">
        <v>0</v>
      </c>
      <c r="EC48" s="409">
        <v>-154.99028783674646</v>
      </c>
      <c r="ED48" s="409">
        <v>0</v>
      </c>
      <c r="EE48" s="409">
        <v>0</v>
      </c>
      <c r="EF48" s="409">
        <v>0</v>
      </c>
      <c r="EG48" s="409">
        <v>0</v>
      </c>
      <c r="EH48" s="409">
        <v>0</v>
      </c>
      <c r="EI48" s="409">
        <v>0</v>
      </c>
      <c r="EJ48" s="409">
        <v>0</v>
      </c>
      <c r="EK48" s="409">
        <v>0</v>
      </c>
      <c r="EL48" s="409">
        <v>0</v>
      </c>
      <c r="EM48" s="409">
        <v>0</v>
      </c>
      <c r="EN48" s="409">
        <v>0</v>
      </c>
      <c r="EO48" s="409">
        <v>0</v>
      </c>
      <c r="EP48" s="409">
        <v>0</v>
      </c>
      <c r="EQ48" s="409">
        <v>0</v>
      </c>
      <c r="ER48" s="409">
        <v>0</v>
      </c>
      <c r="ES48" s="409">
        <v>0</v>
      </c>
      <c r="ET48" s="409">
        <v>0</v>
      </c>
      <c r="EU48" s="409">
        <v>0</v>
      </c>
      <c r="EV48" s="409">
        <v>254</v>
      </c>
      <c r="EW48" s="409">
        <v>0</v>
      </c>
      <c r="EX48" s="409">
        <v>0</v>
      </c>
      <c r="EY48" s="409">
        <v>0</v>
      </c>
      <c r="EZ48" s="409"/>
      <c r="FA48" s="409">
        <v>0</v>
      </c>
      <c r="FB48" s="409"/>
      <c r="FC48" s="409"/>
      <c r="FD48" s="409"/>
      <c r="FE48" s="409"/>
      <c r="FF48" s="409">
        <v>0</v>
      </c>
      <c r="FG48" s="409">
        <v>0</v>
      </c>
      <c r="FH48" s="409">
        <v>0</v>
      </c>
      <c r="FI48" s="409">
        <v>0</v>
      </c>
    </row>
    <row r="49" spans="1:165" customFormat="1">
      <c r="A49" s="409">
        <v>47</v>
      </c>
      <c r="B49" s="409" t="s">
        <v>1035</v>
      </c>
      <c r="C49" s="409" t="s">
        <v>2252</v>
      </c>
      <c r="D49" s="409" t="s">
        <v>2254</v>
      </c>
      <c r="E49" s="409" t="s">
        <v>973</v>
      </c>
      <c r="F49" s="409" t="s">
        <v>1323</v>
      </c>
      <c r="G49" s="409" t="s">
        <v>1323</v>
      </c>
      <c r="H49" s="409" t="s">
        <v>1323</v>
      </c>
      <c r="I49" s="409" t="s">
        <v>972</v>
      </c>
      <c r="J49" s="409" t="s">
        <v>2245</v>
      </c>
      <c r="K49" s="835">
        <v>44348</v>
      </c>
      <c r="L49" s="409">
        <v>0</v>
      </c>
      <c r="M49" s="409">
        <v>0</v>
      </c>
      <c r="N49" s="409">
        <v>0.03</v>
      </c>
      <c r="O49" s="409">
        <v>0.03</v>
      </c>
      <c r="P49" s="409">
        <v>0.03</v>
      </c>
      <c r="Q49" s="409">
        <v>0.03</v>
      </c>
      <c r="R49" s="409"/>
      <c r="S49" s="409">
        <v>1298.56</v>
      </c>
      <c r="T49" s="409">
        <v>214.18</v>
      </c>
      <c r="U49" s="409"/>
      <c r="V49" s="409">
        <v>45.382199999999997</v>
      </c>
      <c r="W49" s="409">
        <v>45.382199999999997</v>
      </c>
      <c r="X49" s="409">
        <v>39.384299999999996</v>
      </c>
      <c r="Y49" s="409">
        <v>0</v>
      </c>
      <c r="Z49" s="409">
        <v>0.65692380508121695</v>
      </c>
      <c r="AA49" s="409">
        <v>0</v>
      </c>
      <c r="AB49" s="409">
        <v>0</v>
      </c>
      <c r="AC49" s="409">
        <v>0</v>
      </c>
      <c r="AD49" s="409">
        <v>8.2496461738898699</v>
      </c>
      <c r="AE49" s="409">
        <v>28.864974469521869</v>
      </c>
      <c r="AF49" s="409">
        <v>6.4254232627532097</v>
      </c>
      <c r="AG49" s="409">
        <v>0</v>
      </c>
      <c r="AH49" s="409">
        <v>0</v>
      </c>
      <c r="AI49" s="409">
        <v>0</v>
      </c>
      <c r="AJ49" s="409">
        <v>0</v>
      </c>
      <c r="AK49" s="409">
        <v>0</v>
      </c>
      <c r="AL49" s="409">
        <v>0.26819999779090292</v>
      </c>
      <c r="AM49" s="409"/>
      <c r="AN49" s="409">
        <v>4.5325405492150202E-2</v>
      </c>
      <c r="AO49" s="409">
        <v>0</v>
      </c>
      <c r="AP49" s="409">
        <v>0</v>
      </c>
      <c r="AQ49" s="409">
        <v>0</v>
      </c>
      <c r="AR49" s="409">
        <v>0</v>
      </c>
      <c r="AS49" s="409">
        <v>0</v>
      </c>
      <c r="AT49" s="409">
        <v>0</v>
      </c>
      <c r="AU49" s="409">
        <v>0</v>
      </c>
      <c r="AV49" s="409">
        <v>0</v>
      </c>
      <c r="AW49" s="409">
        <v>0</v>
      </c>
      <c r="AX49" s="409">
        <v>0</v>
      </c>
      <c r="AY49" s="409">
        <v>0</v>
      </c>
      <c r="AZ49" s="409">
        <v>0</v>
      </c>
      <c r="BA49" s="409"/>
      <c r="BB49" s="409">
        <v>0</v>
      </c>
      <c r="BC49" s="409">
        <v>0</v>
      </c>
      <c r="BD49" s="409">
        <v>0</v>
      </c>
      <c r="BE49" s="409">
        <v>0</v>
      </c>
      <c r="BF49" s="409">
        <v>0</v>
      </c>
      <c r="BG49" s="409">
        <v>0.87171029452713888</v>
      </c>
      <c r="BH49" s="409">
        <v>0</v>
      </c>
      <c r="BI49" s="409">
        <v>0</v>
      </c>
      <c r="BJ49" s="409">
        <v>0</v>
      </c>
      <c r="BK49" s="409">
        <v>0</v>
      </c>
      <c r="BL49" s="409">
        <v>0</v>
      </c>
      <c r="BM49" s="409"/>
      <c r="BN49" s="409"/>
      <c r="BO49" s="409"/>
      <c r="BP49" s="409"/>
      <c r="BQ49" s="409"/>
      <c r="BR49" s="409"/>
      <c r="BS49" s="409"/>
      <c r="BT49" s="409"/>
      <c r="BU49" s="409"/>
      <c r="BV49" s="409">
        <v>7.2971335572803486</v>
      </c>
      <c r="BW49" s="409"/>
      <c r="BX49" s="409"/>
      <c r="BY49" s="409"/>
      <c r="BZ49" s="409"/>
      <c r="CA49" s="409"/>
      <c r="CB49" s="409"/>
      <c r="CC49" s="409"/>
      <c r="CD49" s="409"/>
      <c r="CE49" s="409"/>
      <c r="CF49" s="409"/>
      <c r="CG49" s="409"/>
      <c r="CH49" s="409"/>
      <c r="CI49" s="409">
        <v>39.384299999999996</v>
      </c>
      <c r="CJ49" s="409">
        <v>-6.0278999999999954</v>
      </c>
      <c r="CK49" s="409"/>
      <c r="CL49" s="409"/>
      <c r="CM49" s="409"/>
      <c r="CN49" s="409"/>
      <c r="CO49" s="409">
        <v>-6.2213999999999965</v>
      </c>
      <c r="CP49" s="409">
        <v>0.22349999999999964</v>
      </c>
      <c r="CQ49" s="409">
        <v>30</v>
      </c>
      <c r="CR49" s="409">
        <v>0.6187117447986239</v>
      </c>
      <c r="CS49" s="409">
        <v>0</v>
      </c>
      <c r="CT49" s="409">
        <v>0</v>
      </c>
      <c r="CU49" s="409">
        <v>0</v>
      </c>
      <c r="CV49" s="409">
        <v>0</v>
      </c>
      <c r="CW49" s="409">
        <v>0</v>
      </c>
      <c r="CX49" s="409">
        <v>0</v>
      </c>
      <c r="CY49" s="409">
        <v>0</v>
      </c>
      <c r="CZ49" s="409">
        <v>0.30928433530556987</v>
      </c>
      <c r="DA49" s="409">
        <v>0</v>
      </c>
      <c r="DB49" s="409">
        <v>0</v>
      </c>
      <c r="DC49" s="409">
        <v>0.29434804051281027</v>
      </c>
      <c r="DD49" s="409">
        <v>0</v>
      </c>
      <c r="DE49" s="409">
        <v>0</v>
      </c>
      <c r="DF49" s="409">
        <v>0</v>
      </c>
      <c r="DG49" s="409">
        <v>3.9932967307584111E-2</v>
      </c>
      <c r="DH49" s="409">
        <v>0</v>
      </c>
      <c r="DI49" s="409">
        <v>-4.7908669538579973E-3</v>
      </c>
      <c r="DJ49" s="409"/>
      <c r="DK49" s="409">
        <v>0</v>
      </c>
      <c r="DL49" s="409">
        <v>0</v>
      </c>
      <c r="DM49" s="409">
        <v>0</v>
      </c>
      <c r="DN49" s="409">
        <v>0</v>
      </c>
      <c r="DO49" s="409">
        <v>-1.504320972241513E-3</v>
      </c>
      <c r="DP49" s="409">
        <v>-2.6698180340472E-3</v>
      </c>
      <c r="DQ49" s="409">
        <v>0</v>
      </c>
      <c r="DR49" s="409">
        <v>-1.5888592367195399E-2</v>
      </c>
      <c r="DS49" s="409"/>
      <c r="DT49" s="409"/>
      <c r="DU49" s="409"/>
      <c r="DV49" s="409">
        <v>28.864974469521869</v>
      </c>
      <c r="DW49" s="409">
        <v>0</v>
      </c>
      <c r="DX49" s="409">
        <v>0</v>
      </c>
      <c r="DY49" s="409">
        <v>-6.2213999999999956</v>
      </c>
      <c r="DZ49" s="409">
        <v>0.22349999999999959</v>
      </c>
      <c r="EA49" s="409">
        <v>0</v>
      </c>
      <c r="EB49" s="409">
        <v>0</v>
      </c>
      <c r="EC49" s="409">
        <v>-6.6165308921356498</v>
      </c>
      <c r="ED49" s="409">
        <v>0</v>
      </c>
      <c r="EE49" s="409">
        <v>0</v>
      </c>
      <c r="EF49" s="409">
        <v>0</v>
      </c>
      <c r="EG49" s="409">
        <v>0</v>
      </c>
      <c r="EH49" s="409">
        <v>0</v>
      </c>
      <c r="EI49" s="409">
        <v>0</v>
      </c>
      <c r="EJ49" s="409">
        <v>0</v>
      </c>
      <c r="EK49" s="409">
        <v>0</v>
      </c>
      <c r="EL49" s="409">
        <v>0</v>
      </c>
      <c r="EM49" s="409">
        <v>0</v>
      </c>
      <c r="EN49" s="409">
        <v>0</v>
      </c>
      <c r="EO49" s="409">
        <v>0</v>
      </c>
      <c r="EP49" s="409">
        <v>0</v>
      </c>
      <c r="EQ49" s="409">
        <v>0</v>
      </c>
      <c r="ER49" s="409">
        <v>0</v>
      </c>
      <c r="ES49" s="409">
        <v>0</v>
      </c>
      <c r="ET49" s="409">
        <v>0</v>
      </c>
      <c r="EU49" s="409">
        <v>0</v>
      </c>
      <c r="EV49" s="409">
        <v>254</v>
      </c>
      <c r="EW49" s="409">
        <v>0</v>
      </c>
      <c r="EX49" s="409">
        <v>0</v>
      </c>
      <c r="EY49" s="409">
        <v>0</v>
      </c>
      <c r="EZ49" s="409"/>
      <c r="FA49" s="409">
        <v>0</v>
      </c>
      <c r="FB49" s="409"/>
      <c r="FC49" s="409"/>
      <c r="FD49" s="409"/>
      <c r="FE49" s="409"/>
      <c r="FF49" s="409">
        <v>0</v>
      </c>
      <c r="FG49" s="409">
        <v>0</v>
      </c>
      <c r="FH49" s="409">
        <v>0</v>
      </c>
      <c r="FI49" s="409">
        <v>0</v>
      </c>
    </row>
    <row r="50" spans="1:165" customFormat="1">
      <c r="A50" s="409">
        <v>48</v>
      </c>
      <c r="B50" s="409" t="s">
        <v>1035</v>
      </c>
      <c r="C50" s="409" t="s">
        <v>2252</v>
      </c>
      <c r="D50" s="409" t="s">
        <v>2254</v>
      </c>
      <c r="E50" s="409" t="s">
        <v>973</v>
      </c>
      <c r="F50" s="409" t="s">
        <v>1323</v>
      </c>
      <c r="G50" s="409" t="s">
        <v>1323</v>
      </c>
      <c r="H50" s="409" t="s">
        <v>1323</v>
      </c>
      <c r="I50" s="409" t="s">
        <v>2237</v>
      </c>
      <c r="J50" s="409" t="s">
        <v>2245</v>
      </c>
      <c r="K50" s="835">
        <v>44348</v>
      </c>
      <c r="L50" s="409">
        <v>0</v>
      </c>
      <c r="M50" s="409">
        <v>0</v>
      </c>
      <c r="N50" s="409">
        <v>0.311</v>
      </c>
      <c r="O50" s="409">
        <v>0.311</v>
      </c>
      <c r="P50" s="409">
        <v>0.311</v>
      </c>
      <c r="Q50" s="409">
        <v>0.311</v>
      </c>
      <c r="R50" s="409"/>
      <c r="S50" s="409">
        <v>308.83999999999997</v>
      </c>
      <c r="T50" s="409">
        <v>214.18</v>
      </c>
      <c r="U50" s="409"/>
      <c r="V50" s="409">
        <v>162.65922</v>
      </c>
      <c r="W50" s="409">
        <v>162.65922</v>
      </c>
      <c r="X50" s="409">
        <v>152.35579000000001</v>
      </c>
      <c r="Y50" s="409">
        <v>0</v>
      </c>
      <c r="Z50" s="409">
        <v>6.8101101126752832</v>
      </c>
      <c r="AA50" s="409">
        <v>0</v>
      </c>
      <c r="AB50" s="409">
        <v>0</v>
      </c>
      <c r="AC50" s="409">
        <v>0</v>
      </c>
      <c r="AD50" s="409">
        <v>17.104753790293248</v>
      </c>
      <c r="AE50" s="409">
        <v>59.846744526440972</v>
      </c>
      <c r="AF50" s="409">
        <v>66.610221157208272</v>
      </c>
      <c r="AG50" s="409">
        <v>0</v>
      </c>
      <c r="AH50" s="409">
        <v>0</v>
      </c>
      <c r="AI50" s="409">
        <v>0</v>
      </c>
      <c r="AJ50" s="409">
        <v>0</v>
      </c>
      <c r="AK50" s="409">
        <v>0</v>
      </c>
      <c r="AL50" s="409">
        <v>2.7803399770990271</v>
      </c>
      <c r="AM50" s="409"/>
      <c r="AN50" s="409">
        <v>0.46987337026862375</v>
      </c>
      <c r="AO50" s="409">
        <v>0</v>
      </c>
      <c r="AP50" s="409">
        <v>0</v>
      </c>
      <c r="AQ50" s="409">
        <v>0</v>
      </c>
      <c r="AR50" s="409">
        <v>0</v>
      </c>
      <c r="AS50" s="409">
        <v>0</v>
      </c>
      <c r="AT50" s="409">
        <v>0</v>
      </c>
      <c r="AU50" s="409">
        <v>0</v>
      </c>
      <c r="AV50" s="409">
        <v>0</v>
      </c>
      <c r="AW50" s="409">
        <v>0</v>
      </c>
      <c r="AX50" s="409">
        <v>0</v>
      </c>
      <c r="AY50" s="409">
        <v>0</v>
      </c>
      <c r="AZ50" s="409">
        <v>0</v>
      </c>
      <c r="BA50" s="409"/>
      <c r="BB50" s="409">
        <v>0</v>
      </c>
      <c r="BC50" s="409">
        <v>0</v>
      </c>
      <c r="BD50" s="409">
        <v>0</v>
      </c>
      <c r="BE50" s="409">
        <v>0</v>
      </c>
      <c r="BF50" s="409">
        <v>0</v>
      </c>
      <c r="BG50" s="409">
        <v>9.036730053264673</v>
      </c>
      <c r="BH50" s="409">
        <v>0</v>
      </c>
      <c r="BI50" s="409">
        <v>0</v>
      </c>
      <c r="BJ50" s="409">
        <v>0</v>
      </c>
      <c r="BK50" s="409">
        <v>0</v>
      </c>
      <c r="BL50" s="409">
        <v>0</v>
      </c>
      <c r="BM50" s="409"/>
      <c r="BN50" s="409"/>
      <c r="BO50" s="409"/>
      <c r="BP50" s="409"/>
      <c r="BQ50" s="409"/>
      <c r="BR50" s="409"/>
      <c r="BS50" s="409"/>
      <c r="BT50" s="409"/>
      <c r="BU50" s="409"/>
      <c r="BV50" s="409">
        <v>75.646951210472949</v>
      </c>
      <c r="BW50" s="409"/>
      <c r="BX50" s="409"/>
      <c r="BY50" s="409"/>
      <c r="BZ50" s="409"/>
      <c r="CA50" s="409"/>
      <c r="CB50" s="409"/>
      <c r="CC50" s="409"/>
      <c r="CD50" s="409"/>
      <c r="CE50" s="409"/>
      <c r="CF50" s="409"/>
      <c r="CG50" s="409"/>
      <c r="CH50" s="409"/>
      <c r="CI50" s="409">
        <v>151.86590000000001</v>
      </c>
      <c r="CJ50" s="409">
        <v>-10.823319999999995</v>
      </c>
      <c r="CK50" s="409"/>
      <c r="CL50" s="409"/>
      <c r="CM50" s="409"/>
      <c r="CN50" s="409"/>
      <c r="CO50" s="409">
        <v>-12.620379999999995</v>
      </c>
      <c r="CP50" s="409">
        <v>2.3169499999999963</v>
      </c>
      <c r="CQ50" s="409">
        <v>30</v>
      </c>
      <c r="CR50" s="409">
        <v>3.4144578987466616</v>
      </c>
      <c r="CS50" s="409">
        <v>0</v>
      </c>
      <c r="CT50" s="409">
        <v>0</v>
      </c>
      <c r="CU50" s="409">
        <v>0</v>
      </c>
      <c r="CV50" s="409">
        <v>0</v>
      </c>
      <c r="CW50" s="409">
        <v>0</v>
      </c>
      <c r="CX50" s="409">
        <v>0</v>
      </c>
      <c r="CY50" s="409">
        <v>0</v>
      </c>
      <c r="CZ50" s="409">
        <v>0.64126779441036419</v>
      </c>
      <c r="DA50" s="409">
        <v>0</v>
      </c>
      <c r="DB50" s="409">
        <v>0</v>
      </c>
      <c r="DC50" s="409">
        <v>3.0514080199828015</v>
      </c>
      <c r="DD50" s="409">
        <v>0</v>
      </c>
      <c r="DE50" s="409">
        <v>0</v>
      </c>
      <c r="DF50" s="409">
        <v>0</v>
      </c>
      <c r="DG50" s="409">
        <v>0.41397176108862155</v>
      </c>
      <c r="DH50" s="409">
        <v>0</v>
      </c>
      <c r="DI50" s="409">
        <v>-4.9665320754995079E-2</v>
      </c>
      <c r="DJ50" s="409"/>
      <c r="DK50" s="409">
        <v>0</v>
      </c>
      <c r="DL50" s="409">
        <v>0</v>
      </c>
      <c r="DM50" s="409">
        <v>0</v>
      </c>
      <c r="DN50" s="409">
        <v>0</v>
      </c>
      <c r="DO50" s="409">
        <v>-1.5594794078904073E-2</v>
      </c>
      <c r="DP50" s="409">
        <v>-2.7677113619622606E-2</v>
      </c>
      <c r="DQ50" s="409">
        <v>0</v>
      </c>
      <c r="DR50" s="409">
        <v>-0.59925244828158486</v>
      </c>
      <c r="DS50" s="409"/>
      <c r="DT50" s="409"/>
      <c r="DU50" s="409"/>
      <c r="DV50" s="409">
        <v>59.846744526440972</v>
      </c>
      <c r="DW50" s="409">
        <v>0</v>
      </c>
      <c r="DX50" s="409">
        <v>0</v>
      </c>
      <c r="DY50" s="409">
        <v>-12.620379999999997</v>
      </c>
      <c r="DZ50" s="409">
        <v>2.3169499999999914</v>
      </c>
      <c r="EA50" s="409">
        <v>0</v>
      </c>
      <c r="EB50" s="409">
        <v>0</v>
      </c>
      <c r="EC50" s="409">
        <v>-13.718281108166444</v>
      </c>
      <c r="ED50" s="409">
        <v>0</v>
      </c>
      <c r="EE50" s="409">
        <v>0</v>
      </c>
      <c r="EF50" s="409">
        <v>0</v>
      </c>
      <c r="EG50" s="409">
        <v>0</v>
      </c>
      <c r="EH50" s="409">
        <v>0</v>
      </c>
      <c r="EI50" s="409">
        <v>0</v>
      </c>
      <c r="EJ50" s="409">
        <v>0</v>
      </c>
      <c r="EK50" s="409">
        <v>0</v>
      </c>
      <c r="EL50" s="409">
        <v>0</v>
      </c>
      <c r="EM50" s="409">
        <v>0</v>
      </c>
      <c r="EN50" s="409">
        <v>0</v>
      </c>
      <c r="EO50" s="409">
        <v>0</v>
      </c>
      <c r="EP50" s="409">
        <v>0</v>
      </c>
      <c r="EQ50" s="409">
        <v>0</v>
      </c>
      <c r="ER50" s="409">
        <v>0</v>
      </c>
      <c r="ES50" s="409">
        <v>0</v>
      </c>
      <c r="ET50" s="409">
        <v>0</v>
      </c>
      <c r="EU50" s="409">
        <v>0</v>
      </c>
      <c r="EV50" s="409">
        <v>254</v>
      </c>
      <c r="EW50" s="409">
        <v>0</v>
      </c>
      <c r="EX50" s="409">
        <v>0</v>
      </c>
      <c r="EY50" s="409">
        <v>0</v>
      </c>
      <c r="EZ50" s="409"/>
      <c r="FA50" s="409">
        <v>0</v>
      </c>
      <c r="FB50" s="409"/>
      <c r="FC50" s="409"/>
      <c r="FD50" s="409"/>
      <c r="FE50" s="409"/>
      <c r="FF50" s="409">
        <v>0</v>
      </c>
      <c r="FG50" s="409">
        <v>0</v>
      </c>
      <c r="FH50" s="409">
        <v>0</v>
      </c>
      <c r="FI50" s="409">
        <v>0</v>
      </c>
    </row>
    <row r="51" spans="1:165" customFormat="1">
      <c r="A51" s="409">
        <v>49</v>
      </c>
      <c r="B51" s="409" t="s">
        <v>1035</v>
      </c>
      <c r="C51" s="409" t="s">
        <v>2252</v>
      </c>
      <c r="D51" s="409" t="s">
        <v>2254</v>
      </c>
      <c r="E51" s="409" t="s">
        <v>973</v>
      </c>
      <c r="F51" s="409" t="s">
        <v>1323</v>
      </c>
      <c r="G51" s="409" t="s">
        <v>1323</v>
      </c>
      <c r="H51" s="409" t="s">
        <v>1323</v>
      </c>
      <c r="I51" s="409" t="s">
        <v>1323</v>
      </c>
      <c r="J51" s="409" t="s">
        <v>2245</v>
      </c>
      <c r="K51" s="835">
        <v>44348</v>
      </c>
      <c r="L51" s="409">
        <v>0</v>
      </c>
      <c r="M51" s="409">
        <v>0</v>
      </c>
      <c r="N51" s="409">
        <v>0.36699999999999999</v>
      </c>
      <c r="O51" s="409">
        <v>0.36699999999999999</v>
      </c>
      <c r="P51" s="409">
        <v>0.36699999999999999</v>
      </c>
      <c r="Q51" s="409">
        <v>0.36699999999999999</v>
      </c>
      <c r="R51" s="409"/>
      <c r="S51" s="409">
        <v>597.01</v>
      </c>
      <c r="T51" s="409">
        <v>243.39</v>
      </c>
      <c r="U51" s="409"/>
      <c r="V51" s="409">
        <v>308.42679999999996</v>
      </c>
      <c r="W51" s="409">
        <v>308.42679999999996</v>
      </c>
      <c r="X51" s="409">
        <v>279.38976000000002</v>
      </c>
      <c r="Y51" s="409">
        <v>0</v>
      </c>
      <c r="Z51" s="409">
        <v>9.1322362297275195</v>
      </c>
      <c r="AA51" s="409">
        <v>0</v>
      </c>
      <c r="AB51" s="409">
        <v>0</v>
      </c>
      <c r="AC51" s="409">
        <v>0</v>
      </c>
      <c r="AD51" s="409">
        <v>43.008387078794399</v>
      </c>
      <c r="AE51" s="409">
        <v>150.48413858796667</v>
      </c>
      <c r="AF51" s="409">
        <v>89.323118842061675</v>
      </c>
      <c r="AG51" s="409">
        <v>0</v>
      </c>
      <c r="AH51" s="409">
        <v>0</v>
      </c>
      <c r="AI51" s="409">
        <v>0</v>
      </c>
      <c r="AJ51" s="409">
        <v>0</v>
      </c>
      <c r="AK51" s="409">
        <v>0</v>
      </c>
      <c r="AL51" s="409">
        <v>3.7283863329265707</v>
      </c>
      <c r="AM51" s="409"/>
      <c r="AN51" s="409">
        <v>0.63009181119769242</v>
      </c>
      <c r="AO51" s="409">
        <v>0</v>
      </c>
      <c r="AP51" s="409">
        <v>0</v>
      </c>
      <c r="AQ51" s="409">
        <v>0</v>
      </c>
      <c r="AR51" s="409">
        <v>0</v>
      </c>
      <c r="AS51" s="409">
        <v>0</v>
      </c>
      <c r="AT51" s="409">
        <v>0</v>
      </c>
      <c r="AU51" s="409">
        <v>0</v>
      </c>
      <c r="AV51" s="409">
        <v>0</v>
      </c>
      <c r="AW51" s="409">
        <v>0</v>
      </c>
      <c r="AX51" s="409">
        <v>0</v>
      </c>
      <c r="AY51" s="409">
        <v>0</v>
      </c>
      <c r="AZ51" s="409">
        <v>0</v>
      </c>
      <c r="BA51" s="409"/>
      <c r="BB51" s="409">
        <v>0</v>
      </c>
      <c r="BC51" s="409">
        <v>0</v>
      </c>
      <c r="BD51" s="409">
        <v>0</v>
      </c>
      <c r="BE51" s="409">
        <v>0</v>
      </c>
      <c r="BF51" s="409">
        <v>0</v>
      </c>
      <c r="BG51" s="409">
        <v>12.118093867100756</v>
      </c>
      <c r="BH51" s="409">
        <v>0</v>
      </c>
      <c r="BI51" s="409">
        <v>0.54</v>
      </c>
      <c r="BJ51" s="409">
        <v>2.48</v>
      </c>
      <c r="BK51" s="409">
        <v>0</v>
      </c>
      <c r="BL51" s="409">
        <v>5</v>
      </c>
      <c r="BM51" s="409"/>
      <c r="BN51" s="409"/>
      <c r="BO51" s="409"/>
      <c r="BP51" s="409"/>
      <c r="BQ51" s="409"/>
      <c r="BR51" s="409">
        <v>33.529119999999992</v>
      </c>
      <c r="BS51" s="409"/>
      <c r="BT51" s="409"/>
      <c r="BU51" s="409"/>
      <c r="BV51" s="409">
        <v>101.44121270916243</v>
      </c>
      <c r="BW51" s="409"/>
      <c r="BX51" s="409"/>
      <c r="BY51" s="409"/>
      <c r="BZ51" s="409"/>
      <c r="CA51" s="409"/>
      <c r="CB51" s="409"/>
      <c r="CC51" s="409"/>
      <c r="CD51" s="409"/>
      <c r="CE51" s="409"/>
      <c r="CF51" s="409"/>
      <c r="CG51" s="409"/>
      <c r="CH51" s="409"/>
      <c r="CI51" s="409">
        <v>247.87040000000002</v>
      </c>
      <c r="CJ51" s="409">
        <v>-23.574449999999956</v>
      </c>
      <c r="CK51" s="409"/>
      <c r="CL51" s="409"/>
      <c r="CM51" s="409"/>
      <c r="CN51" s="409"/>
      <c r="CO51" s="409">
        <v>-32.141859999999994</v>
      </c>
      <c r="CP51" s="409">
        <v>3.1048200000000028</v>
      </c>
      <c r="CQ51" s="409">
        <v>30</v>
      </c>
      <c r="CR51" s="409">
        <v>5.4586930449829083</v>
      </c>
      <c r="CS51" s="409">
        <v>0</v>
      </c>
      <c r="CT51" s="409">
        <v>0</v>
      </c>
      <c r="CU51" s="409">
        <v>0</v>
      </c>
      <c r="CV51" s="409">
        <v>0</v>
      </c>
      <c r="CW51" s="409">
        <v>0</v>
      </c>
      <c r="CX51" s="409">
        <v>0</v>
      </c>
      <c r="CY51" s="409">
        <v>0</v>
      </c>
      <c r="CZ51" s="409">
        <v>1.6124110210121216</v>
      </c>
      <c r="DA51" s="409">
        <v>0</v>
      </c>
      <c r="DB51" s="409">
        <v>0</v>
      </c>
      <c r="DC51" s="409">
        <v>4.0918837450077774</v>
      </c>
      <c r="DD51" s="409">
        <v>0</v>
      </c>
      <c r="DE51" s="409">
        <v>0</v>
      </c>
      <c r="DF51" s="409">
        <v>0</v>
      </c>
      <c r="DG51" s="409">
        <v>0.55512875007132223</v>
      </c>
      <c r="DH51" s="409">
        <v>0</v>
      </c>
      <c r="DI51" s="409">
        <v>-6.6600309547956371E-2</v>
      </c>
      <c r="DJ51" s="409"/>
      <c r="DK51" s="409">
        <v>0</v>
      </c>
      <c r="DL51" s="409">
        <v>0</v>
      </c>
      <c r="DM51" s="409">
        <v>0</v>
      </c>
      <c r="DN51" s="409">
        <v>0</v>
      </c>
      <c r="DO51" s="409">
        <v>-2.0912340788376227E-2</v>
      </c>
      <c r="DP51" s="409">
        <v>-3.7114515852093244E-2</v>
      </c>
      <c r="DQ51" s="409">
        <v>0</v>
      </c>
      <c r="DR51" s="409">
        <v>-0.67610330491990234</v>
      </c>
      <c r="DS51" s="409"/>
      <c r="DT51" s="409"/>
      <c r="DU51" s="409"/>
      <c r="DV51" s="409">
        <v>150.48413858796667</v>
      </c>
      <c r="DW51" s="409">
        <v>0</v>
      </c>
      <c r="DX51" s="409">
        <v>0</v>
      </c>
      <c r="DY51" s="409">
        <v>-32.14185999999998</v>
      </c>
      <c r="DZ51" s="409">
        <v>3.1048200000000037</v>
      </c>
      <c r="EA51" s="409">
        <v>0</v>
      </c>
      <c r="EB51" s="409">
        <v>0</v>
      </c>
      <c r="EC51" s="409">
        <v>-34.494503114667012</v>
      </c>
      <c r="ED51" s="409">
        <v>0</v>
      </c>
      <c r="EE51" s="409">
        <v>0</v>
      </c>
      <c r="EF51" s="409">
        <v>0</v>
      </c>
      <c r="EG51" s="409">
        <v>0</v>
      </c>
      <c r="EH51" s="409">
        <v>0</v>
      </c>
      <c r="EI51" s="409">
        <v>0</v>
      </c>
      <c r="EJ51" s="409">
        <v>0</v>
      </c>
      <c r="EK51" s="409">
        <v>0</v>
      </c>
      <c r="EL51" s="409">
        <v>0</v>
      </c>
      <c r="EM51" s="409">
        <v>0</v>
      </c>
      <c r="EN51" s="409">
        <v>0</v>
      </c>
      <c r="EO51" s="409">
        <v>0</v>
      </c>
      <c r="EP51" s="409">
        <v>0</v>
      </c>
      <c r="EQ51" s="409">
        <v>0</v>
      </c>
      <c r="ER51" s="409">
        <v>0</v>
      </c>
      <c r="ES51" s="409">
        <v>0</v>
      </c>
      <c r="ET51" s="409">
        <v>0</v>
      </c>
      <c r="EU51" s="409">
        <v>0</v>
      </c>
      <c r="EV51" s="409">
        <v>254</v>
      </c>
      <c r="EW51" s="409">
        <v>0</v>
      </c>
      <c r="EX51" s="409">
        <v>0</v>
      </c>
      <c r="EY51" s="409">
        <v>0</v>
      </c>
      <c r="EZ51" s="409"/>
      <c r="FA51" s="409">
        <v>0</v>
      </c>
      <c r="FB51" s="409"/>
      <c r="FC51" s="409"/>
      <c r="FD51" s="409"/>
      <c r="FE51" s="409"/>
      <c r="FF51" s="409">
        <v>0</v>
      </c>
      <c r="FG51" s="409">
        <v>0</v>
      </c>
      <c r="FH51" s="409">
        <v>0</v>
      </c>
      <c r="FI51" s="409">
        <v>0</v>
      </c>
    </row>
    <row r="52" spans="1:165" customFormat="1">
      <c r="A52" s="409">
        <v>50</v>
      </c>
      <c r="B52" s="409" t="s">
        <v>1035</v>
      </c>
      <c r="C52" s="409" t="s">
        <v>2252</v>
      </c>
      <c r="D52" s="409" t="s">
        <v>2254</v>
      </c>
      <c r="E52" s="409" t="s">
        <v>973</v>
      </c>
      <c r="F52" s="409" t="s">
        <v>1323</v>
      </c>
      <c r="G52" s="409" t="s">
        <v>1323</v>
      </c>
      <c r="H52" s="409" t="s">
        <v>1323</v>
      </c>
      <c r="I52" s="409" t="s">
        <v>2253</v>
      </c>
      <c r="J52" s="409" t="s">
        <v>2245</v>
      </c>
      <c r="K52" s="835">
        <v>44348</v>
      </c>
      <c r="L52" s="409">
        <v>0</v>
      </c>
      <c r="M52" s="409">
        <v>0</v>
      </c>
      <c r="N52" s="409">
        <v>0.02</v>
      </c>
      <c r="O52" s="409">
        <v>0.02</v>
      </c>
      <c r="P52" s="409">
        <v>0.02</v>
      </c>
      <c r="Q52" s="409">
        <v>0.02</v>
      </c>
      <c r="R52" s="409"/>
      <c r="S52" s="409">
        <v>803.7</v>
      </c>
      <c r="T52" s="409">
        <v>214.18</v>
      </c>
      <c r="U52" s="409"/>
      <c r="V52" s="409">
        <v>20.357600000000001</v>
      </c>
      <c r="W52" s="409">
        <v>20.357600000000001</v>
      </c>
      <c r="X52" s="409">
        <v>18.027000000000001</v>
      </c>
      <c r="Y52" s="409">
        <v>0</v>
      </c>
      <c r="Z52" s="409">
        <v>0.437949203387478</v>
      </c>
      <c r="AA52" s="409">
        <v>0</v>
      </c>
      <c r="AB52" s="409">
        <v>0</v>
      </c>
      <c r="AC52" s="409">
        <v>0</v>
      </c>
      <c r="AD52" s="409">
        <v>3.29987312360984</v>
      </c>
      <c r="AE52" s="409">
        <v>11.545985827298701</v>
      </c>
      <c r="AF52" s="409">
        <v>4.2836155085021401</v>
      </c>
      <c r="AG52" s="409">
        <v>0</v>
      </c>
      <c r="AH52" s="409">
        <v>0</v>
      </c>
      <c r="AI52" s="409">
        <v>0</v>
      </c>
      <c r="AJ52" s="409">
        <v>0</v>
      </c>
      <c r="AK52" s="409">
        <v>0</v>
      </c>
      <c r="AL52" s="409">
        <v>0.17879999852726861</v>
      </c>
      <c r="AM52" s="409"/>
      <c r="AN52" s="409">
        <v>3.02169369947668E-2</v>
      </c>
      <c r="AO52" s="409">
        <v>0</v>
      </c>
      <c r="AP52" s="409">
        <v>0</v>
      </c>
      <c r="AQ52" s="409">
        <v>0</v>
      </c>
      <c r="AR52" s="409">
        <v>0</v>
      </c>
      <c r="AS52" s="409">
        <v>0</v>
      </c>
      <c r="AT52" s="409">
        <v>0</v>
      </c>
      <c r="AU52" s="409">
        <v>0</v>
      </c>
      <c r="AV52" s="409">
        <v>0</v>
      </c>
      <c r="AW52" s="409">
        <v>0</v>
      </c>
      <c r="AX52" s="409">
        <v>0</v>
      </c>
      <c r="AY52" s="409">
        <v>0</v>
      </c>
      <c r="AZ52" s="409">
        <v>0</v>
      </c>
      <c r="BA52" s="409"/>
      <c r="BB52" s="409">
        <v>0</v>
      </c>
      <c r="BC52" s="409">
        <v>0</v>
      </c>
      <c r="BD52" s="409">
        <v>0</v>
      </c>
      <c r="BE52" s="409">
        <v>0</v>
      </c>
      <c r="BF52" s="409">
        <v>0</v>
      </c>
      <c r="BG52" s="409">
        <v>0.581140196351426</v>
      </c>
      <c r="BH52" s="409">
        <v>0</v>
      </c>
      <c r="BI52" s="409">
        <v>0</v>
      </c>
      <c r="BJ52" s="409">
        <v>0</v>
      </c>
      <c r="BK52" s="409">
        <v>0</v>
      </c>
      <c r="BL52" s="409">
        <v>0</v>
      </c>
      <c r="BM52" s="409"/>
      <c r="BN52" s="409"/>
      <c r="BO52" s="409"/>
      <c r="BP52" s="409"/>
      <c r="BQ52" s="409"/>
      <c r="BR52" s="409"/>
      <c r="BS52" s="409"/>
      <c r="BT52" s="409"/>
      <c r="BU52" s="409"/>
      <c r="BV52" s="409">
        <v>4.8647557048535663</v>
      </c>
      <c r="BW52" s="409"/>
      <c r="BX52" s="409"/>
      <c r="BY52" s="409"/>
      <c r="BZ52" s="409"/>
      <c r="CA52" s="409"/>
      <c r="CB52" s="409"/>
      <c r="CC52" s="409"/>
      <c r="CD52" s="409"/>
      <c r="CE52" s="409"/>
      <c r="CF52" s="409"/>
      <c r="CG52" s="409"/>
      <c r="CH52" s="409"/>
      <c r="CI52" s="409">
        <v>18.027000000000001</v>
      </c>
      <c r="CJ52" s="409">
        <v>-2.3606000000000051</v>
      </c>
      <c r="CK52" s="409"/>
      <c r="CL52" s="409"/>
      <c r="CM52" s="409"/>
      <c r="CN52" s="409"/>
      <c r="CO52" s="409">
        <v>-2.4796000000000005</v>
      </c>
      <c r="CP52" s="409">
        <v>0.14899999999999977</v>
      </c>
      <c r="CQ52" s="409">
        <v>30</v>
      </c>
      <c r="CR52" s="409">
        <v>0.31602684473496012</v>
      </c>
      <c r="CS52" s="409">
        <v>0</v>
      </c>
      <c r="CT52" s="409">
        <v>0</v>
      </c>
      <c r="CU52" s="409">
        <v>0</v>
      </c>
      <c r="CV52" s="409">
        <v>0</v>
      </c>
      <c r="CW52" s="409">
        <v>0</v>
      </c>
      <c r="CX52" s="409">
        <v>0</v>
      </c>
      <c r="CY52" s="409">
        <v>0</v>
      </c>
      <c r="CZ52" s="409">
        <v>0.12371428351175995</v>
      </c>
      <c r="DA52" s="409">
        <v>0</v>
      </c>
      <c r="DB52" s="409">
        <v>0</v>
      </c>
      <c r="DC52" s="409">
        <v>0.19623202700854048</v>
      </c>
      <c r="DD52" s="409">
        <v>0</v>
      </c>
      <c r="DE52" s="409">
        <v>0</v>
      </c>
      <c r="DF52" s="409">
        <v>0</v>
      </c>
      <c r="DG52" s="409">
        <v>2.6621978205056074E-2</v>
      </c>
      <c r="DH52" s="409">
        <v>0</v>
      </c>
      <c r="DI52" s="409">
        <v>-3.1939113025720167E-3</v>
      </c>
      <c r="DJ52" s="409"/>
      <c r="DK52" s="409">
        <v>0</v>
      </c>
      <c r="DL52" s="409">
        <v>0</v>
      </c>
      <c r="DM52" s="409">
        <v>0</v>
      </c>
      <c r="DN52" s="409">
        <v>0</v>
      </c>
      <c r="DO52" s="409">
        <v>-1.0028806481610086E-3</v>
      </c>
      <c r="DP52" s="409">
        <v>-1.7798786893648E-3</v>
      </c>
      <c r="DQ52" s="409">
        <v>0</v>
      </c>
      <c r="DR52" s="409">
        <v>-2.4564773350298198E-2</v>
      </c>
      <c r="DS52" s="409"/>
      <c r="DT52" s="409"/>
      <c r="DU52" s="409"/>
      <c r="DV52" s="409">
        <v>11.545985827298701</v>
      </c>
      <c r="DW52" s="409">
        <v>0</v>
      </c>
      <c r="DX52" s="409">
        <v>0</v>
      </c>
      <c r="DY52" s="409">
        <v>-2.4796000000000014</v>
      </c>
      <c r="DZ52" s="409">
        <v>0.14900000000000002</v>
      </c>
      <c r="EA52" s="409">
        <v>0</v>
      </c>
      <c r="EB52" s="409">
        <v>0</v>
      </c>
      <c r="EC52" s="409">
        <v>-2.6466114490122408</v>
      </c>
      <c r="ED52" s="409">
        <v>0</v>
      </c>
      <c r="EE52" s="409">
        <v>0</v>
      </c>
      <c r="EF52" s="409">
        <v>0</v>
      </c>
      <c r="EG52" s="409">
        <v>0</v>
      </c>
      <c r="EH52" s="409">
        <v>0</v>
      </c>
      <c r="EI52" s="409">
        <v>0</v>
      </c>
      <c r="EJ52" s="409">
        <v>0</v>
      </c>
      <c r="EK52" s="409">
        <v>0</v>
      </c>
      <c r="EL52" s="409">
        <v>0</v>
      </c>
      <c r="EM52" s="409">
        <v>0</v>
      </c>
      <c r="EN52" s="409">
        <v>0</v>
      </c>
      <c r="EO52" s="409">
        <v>0</v>
      </c>
      <c r="EP52" s="409">
        <v>0</v>
      </c>
      <c r="EQ52" s="409">
        <v>0</v>
      </c>
      <c r="ER52" s="409">
        <v>0</v>
      </c>
      <c r="ES52" s="409">
        <v>0</v>
      </c>
      <c r="ET52" s="409">
        <v>0</v>
      </c>
      <c r="EU52" s="409">
        <v>0</v>
      </c>
      <c r="EV52" s="409">
        <v>254</v>
      </c>
      <c r="EW52" s="409">
        <v>0</v>
      </c>
      <c r="EX52" s="409">
        <v>0</v>
      </c>
      <c r="EY52" s="409">
        <v>0</v>
      </c>
      <c r="EZ52" s="409"/>
      <c r="FA52" s="409">
        <v>0</v>
      </c>
      <c r="FB52" s="409"/>
      <c r="FC52" s="409"/>
      <c r="FD52" s="409"/>
      <c r="FE52" s="409"/>
      <c r="FF52" s="409">
        <v>0</v>
      </c>
      <c r="FG52" s="409">
        <v>0</v>
      </c>
      <c r="FH52" s="409">
        <v>0</v>
      </c>
      <c r="FI52" s="409">
        <v>0</v>
      </c>
    </row>
    <row r="53" spans="1:165" customFormat="1">
      <c r="A53" s="409">
        <v>51</v>
      </c>
      <c r="B53" s="409" t="s">
        <v>1035</v>
      </c>
      <c r="C53" s="409" t="s">
        <v>2244</v>
      </c>
      <c r="D53" s="409" t="s">
        <v>1994</v>
      </c>
      <c r="E53" s="409" t="s">
        <v>2255</v>
      </c>
      <c r="F53" s="409" t="s">
        <v>1323</v>
      </c>
      <c r="G53" s="409" t="s">
        <v>1323</v>
      </c>
      <c r="H53" s="409" t="s">
        <v>1323</v>
      </c>
      <c r="I53" s="409" t="s">
        <v>1323</v>
      </c>
      <c r="J53" s="409" t="s">
        <v>2245</v>
      </c>
      <c r="K53" s="835">
        <v>44348</v>
      </c>
      <c r="L53" s="409">
        <v>0</v>
      </c>
      <c r="M53" s="409">
        <v>0</v>
      </c>
      <c r="N53" s="409">
        <v>13.058999999999999</v>
      </c>
      <c r="O53" s="409">
        <v>13.058999999999999</v>
      </c>
      <c r="P53" s="409">
        <v>13.058999999999999</v>
      </c>
      <c r="Q53" s="409">
        <v>13.058999999999999</v>
      </c>
      <c r="R53" s="409"/>
      <c r="S53" s="409">
        <v>597.01</v>
      </c>
      <c r="T53" s="409">
        <v>243.39</v>
      </c>
      <c r="U53" s="409"/>
      <c r="V53" s="409">
        <v>10974.783599999999</v>
      </c>
      <c r="W53" s="409">
        <v>10974.783599999999</v>
      </c>
      <c r="X53" s="409">
        <v>9941.5555199999999</v>
      </c>
      <c r="Y53" s="409">
        <v>0</v>
      </c>
      <c r="Z53" s="409">
        <v>324.95333221801542</v>
      </c>
      <c r="AA53" s="409">
        <v>0</v>
      </c>
      <c r="AB53" s="409">
        <v>0</v>
      </c>
      <c r="AC53" s="409">
        <v>0</v>
      </c>
      <c r="AD53" s="409">
        <v>1530.3720077982998</v>
      </c>
      <c r="AE53" s="409">
        <v>5354.6930948780837</v>
      </c>
      <c r="AF53" s="409">
        <v>3178.3940298596281</v>
      </c>
      <c r="AG53" s="409">
        <v>0</v>
      </c>
      <c r="AH53" s="409">
        <v>0</v>
      </c>
      <c r="AI53" s="409">
        <v>0</v>
      </c>
      <c r="AJ53" s="409">
        <v>0</v>
      </c>
      <c r="AK53" s="409">
        <v>0</v>
      </c>
      <c r="AL53" s="409">
        <v>132.66756708906834</v>
      </c>
      <c r="AM53" s="409"/>
      <c r="AN53" s="409">
        <v>22.420623875832874</v>
      </c>
      <c r="AO53" s="409">
        <v>0</v>
      </c>
      <c r="AP53" s="409">
        <v>0</v>
      </c>
      <c r="AQ53" s="409">
        <v>0</v>
      </c>
      <c r="AR53" s="409">
        <v>0</v>
      </c>
      <c r="AS53" s="409">
        <v>0</v>
      </c>
      <c r="AT53" s="409">
        <v>0</v>
      </c>
      <c r="AU53" s="409">
        <v>0</v>
      </c>
      <c r="AV53" s="409">
        <v>0</v>
      </c>
      <c r="AW53" s="409">
        <v>0</v>
      </c>
      <c r="AX53" s="409">
        <v>0</v>
      </c>
      <c r="AY53" s="409">
        <v>0</v>
      </c>
      <c r="AZ53" s="409">
        <v>0</v>
      </c>
      <c r="BA53" s="409"/>
      <c r="BB53" s="409">
        <v>0</v>
      </c>
      <c r="BC53" s="409">
        <v>0</v>
      </c>
      <c r="BD53" s="409">
        <v>0</v>
      </c>
      <c r="BE53" s="409">
        <v>0</v>
      </c>
      <c r="BF53" s="409">
        <v>0</v>
      </c>
      <c r="BG53" s="409">
        <v>431.19942182689033</v>
      </c>
      <c r="BH53" s="409">
        <v>0</v>
      </c>
      <c r="BI53" s="409">
        <v>11.49</v>
      </c>
      <c r="BJ53" s="409">
        <v>53.01</v>
      </c>
      <c r="BK53" s="409">
        <v>948.93</v>
      </c>
      <c r="BL53" s="409">
        <v>30</v>
      </c>
      <c r="BM53" s="409"/>
      <c r="BN53" s="409"/>
      <c r="BO53" s="409"/>
      <c r="BP53" s="409"/>
      <c r="BQ53" s="409"/>
      <c r="BR53" s="409"/>
      <c r="BS53" s="409"/>
      <c r="BT53" s="409"/>
      <c r="BU53" s="409"/>
      <c r="BV53" s="409">
        <v>3609.5934516865182</v>
      </c>
      <c r="BW53" s="409"/>
      <c r="BX53" s="409"/>
      <c r="BY53" s="409"/>
      <c r="BZ53" s="409"/>
      <c r="CA53" s="409"/>
      <c r="CB53" s="409"/>
      <c r="CC53" s="409"/>
      <c r="CD53" s="409"/>
      <c r="CE53" s="409"/>
      <c r="CF53" s="409"/>
      <c r="CG53" s="409"/>
      <c r="CH53" s="409"/>
      <c r="CI53" s="409">
        <v>9942.3168000000005</v>
      </c>
      <c r="CJ53" s="409">
        <v>-1032.496799999999</v>
      </c>
      <c r="CK53" s="409"/>
      <c r="CL53" s="409"/>
      <c r="CM53" s="409"/>
      <c r="CN53" s="409"/>
      <c r="CO53" s="409">
        <v>-1143.7072199999998</v>
      </c>
      <c r="CP53" s="409">
        <v>110.4791400000001</v>
      </c>
      <c r="CQ53" s="409">
        <v>30</v>
      </c>
      <c r="CR53" s="409">
        <v>194.23725469872443</v>
      </c>
      <c r="CS53" s="409">
        <v>0</v>
      </c>
      <c r="CT53" s="409">
        <v>0</v>
      </c>
      <c r="CU53" s="409">
        <v>0</v>
      </c>
      <c r="CV53" s="409">
        <v>0</v>
      </c>
      <c r="CW53" s="409">
        <v>0</v>
      </c>
      <c r="CX53" s="409">
        <v>0</v>
      </c>
      <c r="CY53" s="409">
        <v>0</v>
      </c>
      <c r="CZ53" s="409">
        <v>57.374592706804606</v>
      </c>
      <c r="DA53" s="409">
        <v>0</v>
      </c>
      <c r="DB53" s="409">
        <v>0</v>
      </c>
      <c r="DC53" s="409">
        <v>145.6019341309443</v>
      </c>
      <c r="DD53" s="409">
        <v>0</v>
      </c>
      <c r="DE53" s="409">
        <v>0</v>
      </c>
      <c r="DF53" s="409">
        <v>0</v>
      </c>
      <c r="DG53" s="409">
        <v>19.753205305671429</v>
      </c>
      <c r="DH53" s="409">
        <v>0</v>
      </c>
      <c r="DI53" s="409">
        <v>-2.3698458920620169</v>
      </c>
      <c r="DJ53" s="409"/>
      <c r="DK53" s="409">
        <v>0</v>
      </c>
      <c r="DL53" s="409">
        <v>0</v>
      </c>
      <c r="DM53" s="409">
        <v>0</v>
      </c>
      <c r="DN53" s="409">
        <v>0</v>
      </c>
      <c r="DO53" s="409">
        <v>-0.74412604456512099</v>
      </c>
      <c r="DP53" s="409">
        <v>-1.3206497616144013</v>
      </c>
      <c r="DQ53" s="409">
        <v>0</v>
      </c>
      <c r="DR53" s="409">
        <v>-24.057855746455054</v>
      </c>
      <c r="DS53" s="409"/>
      <c r="DT53" s="409"/>
      <c r="DU53" s="409"/>
      <c r="DV53" s="409">
        <v>5354.6930948780837</v>
      </c>
      <c r="DW53" s="409">
        <v>0</v>
      </c>
      <c r="DX53" s="409">
        <v>0</v>
      </c>
      <c r="DY53" s="409">
        <v>-1143.7072200000002</v>
      </c>
      <c r="DZ53" s="409">
        <v>110.47914000000037</v>
      </c>
      <c r="EA53" s="409">
        <v>0</v>
      </c>
      <c r="EB53" s="409">
        <v>0</v>
      </c>
      <c r="EC53" s="409">
        <v>-1227.4215699575925</v>
      </c>
      <c r="ED53" s="409">
        <v>0</v>
      </c>
      <c r="EE53" s="409">
        <v>0</v>
      </c>
      <c r="EF53" s="409">
        <v>0</v>
      </c>
      <c r="EG53" s="409">
        <v>0</v>
      </c>
      <c r="EH53" s="409">
        <v>0</v>
      </c>
      <c r="EI53" s="409">
        <v>0</v>
      </c>
      <c r="EJ53" s="409">
        <v>0</v>
      </c>
      <c r="EK53" s="409">
        <v>0</v>
      </c>
      <c r="EL53" s="409">
        <v>0</v>
      </c>
      <c r="EM53" s="409">
        <v>0</v>
      </c>
      <c r="EN53" s="409">
        <v>0</v>
      </c>
      <c r="EO53" s="409">
        <v>0</v>
      </c>
      <c r="EP53" s="409">
        <v>0</v>
      </c>
      <c r="EQ53" s="409">
        <v>0</v>
      </c>
      <c r="ER53" s="409">
        <v>0</v>
      </c>
      <c r="ES53" s="409">
        <v>0</v>
      </c>
      <c r="ET53" s="409">
        <v>0</v>
      </c>
      <c r="EU53" s="409">
        <v>0</v>
      </c>
      <c r="EV53" s="409">
        <v>254</v>
      </c>
      <c r="EW53" s="409">
        <v>0</v>
      </c>
      <c r="EX53" s="409">
        <v>0</v>
      </c>
      <c r="EY53" s="409">
        <v>0</v>
      </c>
      <c r="EZ53" s="409"/>
      <c r="FA53" s="409">
        <v>0</v>
      </c>
      <c r="FB53" s="409"/>
      <c r="FC53" s="409"/>
      <c r="FD53" s="409"/>
      <c r="FE53" s="409"/>
      <c r="FF53" s="409">
        <v>0</v>
      </c>
      <c r="FG53" s="409">
        <v>0</v>
      </c>
      <c r="FH53" s="409">
        <v>0</v>
      </c>
      <c r="FI53" s="409">
        <v>0</v>
      </c>
    </row>
    <row r="54" spans="1:165" customFormat="1">
      <c r="A54" s="409">
        <v>52</v>
      </c>
      <c r="B54" s="409" t="s">
        <v>1035</v>
      </c>
      <c r="C54" s="409" t="s">
        <v>2244</v>
      </c>
      <c r="D54" s="409" t="s">
        <v>2256</v>
      </c>
      <c r="E54" s="409" t="s">
        <v>2257</v>
      </c>
      <c r="F54" s="409" t="s">
        <v>2258</v>
      </c>
      <c r="G54" s="409" t="s">
        <v>1323</v>
      </c>
      <c r="H54" s="409" t="s">
        <v>1323</v>
      </c>
      <c r="I54" s="409" t="s">
        <v>1323</v>
      </c>
      <c r="J54" s="409" t="s">
        <v>2245</v>
      </c>
      <c r="K54" s="835">
        <v>44348</v>
      </c>
      <c r="L54" s="409">
        <v>0</v>
      </c>
      <c r="M54" s="409">
        <v>0</v>
      </c>
      <c r="N54" s="409">
        <v>124.815</v>
      </c>
      <c r="O54" s="409">
        <v>124.815</v>
      </c>
      <c r="P54" s="409">
        <v>124.815</v>
      </c>
      <c r="Q54" s="409">
        <v>124.815</v>
      </c>
      <c r="R54" s="409"/>
      <c r="S54" s="409">
        <v>328.35</v>
      </c>
      <c r="T54" s="409">
        <v>133.86000000000001</v>
      </c>
      <c r="U54" s="409"/>
      <c r="V54" s="409">
        <v>57690.741150000002</v>
      </c>
      <c r="W54" s="409">
        <v>57690.741150000002</v>
      </c>
      <c r="X54" s="409">
        <v>52260.040500000003</v>
      </c>
      <c r="Y54" s="409">
        <v>0</v>
      </c>
      <c r="Z54" s="409">
        <v>1708.2071819002535</v>
      </c>
      <c r="AA54" s="409">
        <v>0</v>
      </c>
      <c r="AB54" s="409">
        <v>0</v>
      </c>
      <c r="AC54" s="409">
        <v>0</v>
      </c>
      <c r="AD54" s="409">
        <v>8044.824273247541</v>
      </c>
      <c r="AE54" s="409">
        <v>28148.427157551501</v>
      </c>
      <c r="AF54" s="409">
        <v>16708.108427927971</v>
      </c>
      <c r="AG54" s="409">
        <v>0</v>
      </c>
      <c r="AH54" s="409">
        <v>0</v>
      </c>
      <c r="AI54" s="409">
        <v>0</v>
      </c>
      <c r="AJ54" s="409">
        <v>0</v>
      </c>
      <c r="AK54" s="409">
        <v>0</v>
      </c>
      <c r="AL54" s="409">
        <v>697.40380675565791</v>
      </c>
      <c r="AM54" s="409"/>
      <c r="AN54" s="409">
        <v>117.86021846880675</v>
      </c>
      <c r="AO54" s="409">
        <v>0</v>
      </c>
      <c r="AP54" s="409">
        <v>0</v>
      </c>
      <c r="AQ54" s="409">
        <v>0</v>
      </c>
      <c r="AR54" s="409">
        <v>0</v>
      </c>
      <c r="AS54" s="409">
        <v>0</v>
      </c>
      <c r="AT54" s="409">
        <v>0</v>
      </c>
      <c r="AU54" s="409">
        <v>0</v>
      </c>
      <c r="AV54" s="409">
        <v>0</v>
      </c>
      <c r="AW54" s="409">
        <v>0</v>
      </c>
      <c r="AX54" s="409">
        <v>0</v>
      </c>
      <c r="AY54" s="409">
        <v>0</v>
      </c>
      <c r="AZ54" s="409">
        <v>0</v>
      </c>
      <c r="BA54" s="409"/>
      <c r="BB54" s="409">
        <v>0</v>
      </c>
      <c r="BC54" s="409">
        <v>0</v>
      </c>
      <c r="BD54" s="409">
        <v>0</v>
      </c>
      <c r="BE54" s="409">
        <v>0</v>
      </c>
      <c r="BF54" s="409">
        <v>0</v>
      </c>
      <c r="BG54" s="409">
        <v>2266.7191752376057</v>
      </c>
      <c r="BH54" s="409">
        <v>0</v>
      </c>
      <c r="BI54" s="409">
        <v>0</v>
      </c>
      <c r="BJ54" s="409">
        <v>0</v>
      </c>
      <c r="BK54" s="409">
        <v>0</v>
      </c>
      <c r="BL54" s="409">
        <v>5</v>
      </c>
      <c r="BM54" s="409"/>
      <c r="BN54" s="409"/>
      <c r="BO54" s="409"/>
      <c r="BP54" s="409"/>
      <c r="BQ54" s="409"/>
      <c r="BR54" s="409"/>
      <c r="BS54" s="409"/>
      <c r="BT54" s="409"/>
      <c r="BU54" s="409"/>
      <c r="BV54" s="409">
        <v>18974.827603165577</v>
      </c>
      <c r="BW54" s="409"/>
      <c r="BX54" s="409"/>
      <c r="BY54" s="409"/>
      <c r="BZ54" s="409"/>
      <c r="CA54" s="409"/>
      <c r="CB54" s="409"/>
      <c r="CC54" s="409"/>
      <c r="CD54" s="409"/>
      <c r="CE54" s="409"/>
      <c r="CF54" s="409"/>
      <c r="CG54" s="409"/>
      <c r="CH54" s="409"/>
      <c r="CI54" s="409">
        <v>52262.134000000005</v>
      </c>
      <c r="CJ54" s="409">
        <v>-5428.6371500000023</v>
      </c>
      <c r="CK54" s="409"/>
      <c r="CL54" s="409"/>
      <c r="CM54" s="409"/>
      <c r="CN54" s="409"/>
      <c r="CO54" s="409">
        <v>-6012.3385500000022</v>
      </c>
      <c r="CP54" s="409">
        <v>581.6378999999996</v>
      </c>
      <c r="CQ54" s="409">
        <v>30</v>
      </c>
      <c r="CR54" s="409">
        <v>1021.061920504726</v>
      </c>
      <c r="CS54" s="409">
        <v>0</v>
      </c>
      <c r="CT54" s="409">
        <v>0</v>
      </c>
      <c r="CU54" s="409">
        <v>0</v>
      </c>
      <c r="CV54" s="409">
        <v>0</v>
      </c>
      <c r="CW54" s="409">
        <v>0</v>
      </c>
      <c r="CX54" s="409">
        <v>0</v>
      </c>
      <c r="CY54" s="409">
        <v>0</v>
      </c>
      <c r="CZ54" s="409">
        <v>301.60543562176645</v>
      </c>
      <c r="DA54" s="409">
        <v>0</v>
      </c>
      <c r="DB54" s="409">
        <v>0</v>
      </c>
      <c r="DC54" s="409">
        <v>765.39688909598408</v>
      </c>
      <c r="DD54" s="409">
        <v>0</v>
      </c>
      <c r="DE54" s="409">
        <v>0</v>
      </c>
      <c r="DF54" s="409">
        <v>0</v>
      </c>
      <c r="DG54" s="409">
        <v>103.83819405198938</v>
      </c>
      <c r="DH54" s="409">
        <v>0</v>
      </c>
      <c r="DI54" s="409">
        <v>-12.457751225957054</v>
      </c>
      <c r="DJ54" s="409"/>
      <c r="DK54" s="409">
        <v>0</v>
      </c>
      <c r="DL54" s="409">
        <v>0</v>
      </c>
      <c r="DM54" s="409">
        <v>0</v>
      </c>
      <c r="DN54" s="409">
        <v>0</v>
      </c>
      <c r="DO54" s="409">
        <v>-3.9117046281327248</v>
      </c>
      <c r="DP54" s="409">
        <v>-6.9423612066581057</v>
      </c>
      <c r="DQ54" s="409">
        <v>0</v>
      </c>
      <c r="DR54" s="409">
        <v>-126.46678120427234</v>
      </c>
      <c r="DS54" s="409"/>
      <c r="DT54" s="409"/>
      <c r="DU54" s="409"/>
      <c r="DV54" s="409">
        <v>28148.427157551501</v>
      </c>
      <c r="DW54" s="409">
        <v>0</v>
      </c>
      <c r="DX54" s="409">
        <v>0</v>
      </c>
      <c r="DY54" s="409">
        <v>-6012.3385500000004</v>
      </c>
      <c r="DZ54" s="409">
        <v>581.63790000000154</v>
      </c>
      <c r="EA54" s="409">
        <v>0</v>
      </c>
      <c r="EB54" s="409">
        <v>0</v>
      </c>
      <c r="EC54" s="409">
        <v>-6452.281399023057</v>
      </c>
      <c r="ED54" s="409">
        <v>0</v>
      </c>
      <c r="EE54" s="409">
        <v>0</v>
      </c>
      <c r="EF54" s="409">
        <v>0</v>
      </c>
      <c r="EG54" s="409">
        <v>0</v>
      </c>
      <c r="EH54" s="409">
        <v>0</v>
      </c>
      <c r="EI54" s="409">
        <v>0</v>
      </c>
      <c r="EJ54" s="409">
        <v>0</v>
      </c>
      <c r="EK54" s="409">
        <v>0</v>
      </c>
      <c r="EL54" s="409">
        <v>0</v>
      </c>
      <c r="EM54" s="409">
        <v>0</v>
      </c>
      <c r="EN54" s="409">
        <v>0</v>
      </c>
      <c r="EO54" s="409">
        <v>0</v>
      </c>
      <c r="EP54" s="409">
        <v>0</v>
      </c>
      <c r="EQ54" s="409">
        <v>0</v>
      </c>
      <c r="ER54" s="409">
        <v>0</v>
      </c>
      <c r="ES54" s="409">
        <v>0</v>
      </c>
      <c r="ET54" s="409">
        <v>0</v>
      </c>
      <c r="EU54" s="409">
        <v>0</v>
      </c>
      <c r="EV54" s="409">
        <v>254</v>
      </c>
      <c r="EW54" s="409">
        <v>0</v>
      </c>
      <c r="EX54" s="409">
        <v>0</v>
      </c>
      <c r="EY54" s="409">
        <v>0</v>
      </c>
      <c r="EZ54" s="409"/>
      <c r="FA54" s="409">
        <v>0</v>
      </c>
      <c r="FB54" s="409"/>
      <c r="FC54" s="409"/>
      <c r="FD54" s="409"/>
      <c r="FE54" s="409"/>
      <c r="FF54" s="409">
        <v>0</v>
      </c>
      <c r="FG54" s="409">
        <v>0</v>
      </c>
      <c r="FH54" s="409">
        <v>0</v>
      </c>
      <c r="FI54" s="409">
        <v>0</v>
      </c>
    </row>
    <row r="55" spans="1:165" customFormat="1">
      <c r="A55" s="409">
        <v>53</v>
      </c>
      <c r="B55" s="409" t="s">
        <v>1035</v>
      </c>
      <c r="C55" s="409" t="s">
        <v>2244</v>
      </c>
      <c r="D55" s="409" t="s">
        <v>1994</v>
      </c>
      <c r="E55" s="409" t="s">
        <v>1000</v>
      </c>
      <c r="F55" s="409" t="s">
        <v>2259</v>
      </c>
      <c r="G55" s="409" t="s">
        <v>1323</v>
      </c>
      <c r="H55" s="409" t="s">
        <v>1323</v>
      </c>
      <c r="I55" s="409" t="s">
        <v>1323</v>
      </c>
      <c r="J55" s="409" t="s">
        <v>2245</v>
      </c>
      <c r="K55" s="835">
        <v>44348</v>
      </c>
      <c r="L55" s="409">
        <v>0</v>
      </c>
      <c r="M55" s="409">
        <v>0</v>
      </c>
      <c r="N55" s="409">
        <v>66.103999999999999</v>
      </c>
      <c r="O55" s="409">
        <v>62.137759999999993</v>
      </c>
      <c r="P55" s="409">
        <v>66.103999999999999</v>
      </c>
      <c r="Q55" s="409">
        <v>62.137759999999993</v>
      </c>
      <c r="R55" s="409"/>
      <c r="S55" s="409">
        <v>597.01</v>
      </c>
      <c r="T55" s="409">
        <v>243.39</v>
      </c>
      <c r="U55" s="409"/>
      <c r="V55" s="409">
        <v>55553.801599999999</v>
      </c>
      <c r="W55" s="409">
        <v>55553.801599999999</v>
      </c>
      <c r="X55" s="409">
        <v>50323.653119999995</v>
      </c>
      <c r="Y55" s="409">
        <v>0</v>
      </c>
      <c r="Z55" s="409">
        <v>1644.8973943594222</v>
      </c>
      <c r="AA55" s="409">
        <v>0</v>
      </c>
      <c r="AB55" s="409">
        <v>0</v>
      </c>
      <c r="AC55" s="409">
        <v>0</v>
      </c>
      <c r="AD55" s="409">
        <v>7746.6659930698224</v>
      </c>
      <c r="AE55" s="409">
        <v>27105.186640923566</v>
      </c>
      <c r="AF55" s="409">
        <v>16088.870430342358</v>
      </c>
      <c r="AG55" s="409">
        <v>0</v>
      </c>
      <c r="AH55" s="409">
        <v>0</v>
      </c>
      <c r="AI55" s="409">
        <v>0</v>
      </c>
      <c r="AJ55" s="409">
        <v>0</v>
      </c>
      <c r="AK55" s="409">
        <v>0</v>
      </c>
      <c r="AL55" s="409">
        <v>671.5565399231009</v>
      </c>
      <c r="AM55" s="409"/>
      <c r="AN55" s="409">
        <v>113.49206835807155</v>
      </c>
      <c r="AO55" s="409">
        <v>0</v>
      </c>
      <c r="AP55" s="409">
        <v>0</v>
      </c>
      <c r="AQ55" s="409">
        <v>0</v>
      </c>
      <c r="AR55" s="409">
        <v>0</v>
      </c>
      <c r="AS55" s="409">
        <v>0</v>
      </c>
      <c r="AT55" s="409">
        <v>0</v>
      </c>
      <c r="AU55" s="409">
        <v>0</v>
      </c>
      <c r="AV55" s="409">
        <v>0</v>
      </c>
      <c r="AW55" s="409">
        <v>0</v>
      </c>
      <c r="AX55" s="409">
        <v>0</v>
      </c>
      <c r="AY55" s="409">
        <v>0</v>
      </c>
      <c r="AZ55" s="409">
        <v>0</v>
      </c>
      <c r="BA55" s="409"/>
      <c r="BB55" s="409">
        <v>0</v>
      </c>
      <c r="BC55" s="409">
        <v>0</v>
      </c>
      <c r="BD55" s="409">
        <v>0</v>
      </c>
      <c r="BE55" s="409">
        <v>0</v>
      </c>
      <c r="BF55" s="409">
        <v>0</v>
      </c>
      <c r="BG55" s="409">
        <v>2182.7097465690144</v>
      </c>
      <c r="BH55" s="409">
        <v>0</v>
      </c>
      <c r="BI55" s="409">
        <v>0</v>
      </c>
      <c r="BJ55" s="409">
        <v>0</v>
      </c>
      <c r="BK55" s="409">
        <v>0</v>
      </c>
      <c r="BL55" s="409">
        <v>9</v>
      </c>
      <c r="BM55" s="409"/>
      <c r="BN55" s="409"/>
      <c r="BO55" s="409"/>
      <c r="BP55" s="409"/>
      <c r="BQ55" s="409">
        <v>3019.4191872000047</v>
      </c>
      <c r="BR55" s="409"/>
      <c r="BS55" s="409"/>
      <c r="BT55" s="409"/>
      <c r="BU55" s="409"/>
      <c r="BV55" s="409">
        <v>18271.580176911371</v>
      </c>
      <c r="BW55" s="409"/>
      <c r="BX55" s="409"/>
      <c r="BY55" s="409"/>
      <c r="BZ55" s="409"/>
      <c r="CA55" s="409"/>
      <c r="CB55" s="409"/>
      <c r="CC55" s="409"/>
      <c r="CD55" s="409"/>
      <c r="CE55" s="409"/>
      <c r="CF55" s="409"/>
      <c r="CG55" s="409"/>
      <c r="CH55" s="409"/>
      <c r="CI55" s="409">
        <v>47305.939200000001</v>
      </c>
      <c r="CJ55" s="409">
        <v>-4914.6643039999981</v>
      </c>
      <c r="CK55" s="409"/>
      <c r="CL55" s="409"/>
      <c r="CM55" s="409"/>
      <c r="CN55" s="409"/>
      <c r="CO55" s="409">
        <v>-5789.3883199999991</v>
      </c>
      <c r="CP55" s="409">
        <v>559.23984000000053</v>
      </c>
      <c r="CQ55" s="409">
        <v>30</v>
      </c>
      <c r="CR55" s="409">
        <v>983.21919630940465</v>
      </c>
      <c r="CS55" s="409">
        <v>0</v>
      </c>
      <c r="CT55" s="409">
        <v>0</v>
      </c>
      <c r="CU55" s="409">
        <v>0</v>
      </c>
      <c r="CV55" s="409">
        <v>0</v>
      </c>
      <c r="CW55" s="409">
        <v>0</v>
      </c>
      <c r="CX55" s="409">
        <v>0</v>
      </c>
      <c r="CY55" s="409">
        <v>0</v>
      </c>
      <c r="CZ55" s="409">
        <v>290.42729736508318</v>
      </c>
      <c r="DA55" s="409">
        <v>0</v>
      </c>
      <c r="DB55" s="409">
        <v>0</v>
      </c>
      <c r="DC55" s="409">
        <v>737.02965416892039</v>
      </c>
      <c r="DD55" s="409">
        <v>0</v>
      </c>
      <c r="DE55" s="409">
        <v>0</v>
      </c>
      <c r="DF55" s="409">
        <v>0</v>
      </c>
      <c r="DG55" s="409">
        <v>99.989729958350836</v>
      </c>
      <c r="DH55" s="409">
        <v>0</v>
      </c>
      <c r="DI55" s="409">
        <v>-11.996040496888554</v>
      </c>
      <c r="DJ55" s="409"/>
      <c r="DK55" s="409">
        <v>0</v>
      </c>
      <c r="DL55" s="409">
        <v>0</v>
      </c>
      <c r="DM55" s="409">
        <v>0</v>
      </c>
      <c r="DN55" s="409">
        <v>0</v>
      </c>
      <c r="DO55" s="409">
        <v>-3.7667285435281883</v>
      </c>
      <c r="DP55" s="409">
        <v>-6.6850625501001844</v>
      </c>
      <c r="DQ55" s="409">
        <v>0</v>
      </c>
      <c r="DR55" s="409">
        <v>-121.77965359243933</v>
      </c>
      <c r="DS55" s="409"/>
      <c r="DT55" s="409"/>
      <c r="DU55" s="409"/>
      <c r="DV55" s="409">
        <v>27105.186640923566</v>
      </c>
      <c r="DW55" s="409">
        <v>0</v>
      </c>
      <c r="DX55" s="409">
        <v>0</v>
      </c>
      <c r="DY55" s="409">
        <v>-5789.3883200000055</v>
      </c>
      <c r="DZ55" s="409">
        <v>559.23984000000019</v>
      </c>
      <c r="EA55" s="409">
        <v>0</v>
      </c>
      <c r="EB55" s="409">
        <v>0</v>
      </c>
      <c r="EC55" s="409">
        <v>-6213.1461413949546</v>
      </c>
      <c r="ED55" s="409">
        <v>0</v>
      </c>
      <c r="EE55" s="409">
        <v>0</v>
      </c>
      <c r="EF55" s="409">
        <v>0</v>
      </c>
      <c r="EG55" s="409">
        <v>0</v>
      </c>
      <c r="EH55" s="409">
        <v>0</v>
      </c>
      <c r="EI55" s="409">
        <v>0</v>
      </c>
      <c r="EJ55" s="409">
        <v>0</v>
      </c>
      <c r="EK55" s="409">
        <v>0</v>
      </c>
      <c r="EL55" s="409">
        <v>0</v>
      </c>
      <c r="EM55" s="409">
        <v>0</v>
      </c>
      <c r="EN55" s="409">
        <v>0</v>
      </c>
      <c r="EO55" s="409">
        <v>0</v>
      </c>
      <c r="EP55" s="409">
        <v>0</v>
      </c>
      <c r="EQ55" s="409">
        <v>0</v>
      </c>
      <c r="ER55" s="409">
        <v>0</v>
      </c>
      <c r="ES55" s="409">
        <v>0</v>
      </c>
      <c r="ET55" s="409">
        <v>0</v>
      </c>
      <c r="EU55" s="409">
        <v>0</v>
      </c>
      <c r="EV55" s="409">
        <v>254</v>
      </c>
      <c r="EW55" s="409">
        <v>0</v>
      </c>
      <c r="EX55" s="409">
        <v>0</v>
      </c>
      <c r="EY55" s="409">
        <v>0</v>
      </c>
      <c r="EZ55" s="409"/>
      <c r="FA55" s="409">
        <v>0</v>
      </c>
      <c r="FB55" s="409"/>
      <c r="FC55" s="409"/>
      <c r="FD55" s="409"/>
      <c r="FE55" s="409"/>
      <c r="FF55" s="409">
        <v>0</v>
      </c>
      <c r="FG55" s="409">
        <v>0</v>
      </c>
      <c r="FH55" s="409">
        <v>0</v>
      </c>
      <c r="FI55" s="409">
        <v>0</v>
      </c>
    </row>
    <row r="56" spans="1:165" customFormat="1">
      <c r="A56" s="409">
        <v>54</v>
      </c>
      <c r="B56" s="409" t="s">
        <v>1035</v>
      </c>
      <c r="C56" s="409" t="s">
        <v>2244</v>
      </c>
      <c r="D56" s="409" t="s">
        <v>1994</v>
      </c>
      <c r="E56" s="409" t="s">
        <v>2260</v>
      </c>
      <c r="F56" s="409" t="s">
        <v>1323</v>
      </c>
      <c r="G56" s="409" t="s">
        <v>1323</v>
      </c>
      <c r="H56" s="409" t="s">
        <v>1323</v>
      </c>
      <c r="I56" s="409" t="s">
        <v>1323</v>
      </c>
      <c r="J56" s="409" t="s">
        <v>2245</v>
      </c>
      <c r="K56" s="835">
        <v>44348</v>
      </c>
      <c r="L56" s="409">
        <v>0</v>
      </c>
      <c r="M56" s="409">
        <v>0</v>
      </c>
      <c r="N56" s="409">
        <v>2.3570000000000002</v>
      </c>
      <c r="O56" s="409">
        <v>2.3570000000000002</v>
      </c>
      <c r="P56" s="409">
        <v>2.3570000000000002</v>
      </c>
      <c r="Q56" s="409">
        <v>2.3570000000000002</v>
      </c>
      <c r="R56" s="409"/>
      <c r="S56" s="409">
        <v>597.01</v>
      </c>
      <c r="T56" s="409">
        <v>243.39</v>
      </c>
      <c r="U56" s="409"/>
      <c r="V56" s="409">
        <v>1980.8228000000004</v>
      </c>
      <c r="W56" s="409">
        <v>1980.8228000000004</v>
      </c>
      <c r="X56" s="409">
        <v>1794.3369600000001</v>
      </c>
      <c r="Y56" s="409">
        <v>0</v>
      </c>
      <c r="Z56" s="409">
        <v>58.650356385470751</v>
      </c>
      <c r="AA56" s="409">
        <v>0</v>
      </c>
      <c r="AB56" s="409">
        <v>0</v>
      </c>
      <c r="AC56" s="409">
        <v>0</v>
      </c>
      <c r="AD56" s="409">
        <v>276.21462764228448</v>
      </c>
      <c r="AE56" s="409">
        <v>966.46080286604217</v>
      </c>
      <c r="AF56" s="409">
        <v>573.66373599656515</v>
      </c>
      <c r="AG56" s="409">
        <v>0</v>
      </c>
      <c r="AH56" s="409">
        <v>0</v>
      </c>
      <c r="AI56" s="409">
        <v>0</v>
      </c>
      <c r="AJ56" s="409">
        <v>0</v>
      </c>
      <c r="AK56" s="409">
        <v>0</v>
      </c>
      <c r="AL56" s="409">
        <v>23.944977075498443</v>
      </c>
      <c r="AM56" s="409"/>
      <c r="AN56" s="409">
        <v>4.0466659373105207</v>
      </c>
      <c r="AO56" s="409">
        <v>0</v>
      </c>
      <c r="AP56" s="409">
        <v>0</v>
      </c>
      <c r="AQ56" s="409">
        <v>0</v>
      </c>
      <c r="AR56" s="409">
        <v>0</v>
      </c>
      <c r="AS56" s="409">
        <v>0</v>
      </c>
      <c r="AT56" s="409">
        <v>0</v>
      </c>
      <c r="AU56" s="409">
        <v>0</v>
      </c>
      <c r="AV56" s="409">
        <v>0</v>
      </c>
      <c r="AW56" s="409">
        <v>0</v>
      </c>
      <c r="AX56" s="409">
        <v>0</v>
      </c>
      <c r="AY56" s="409">
        <v>0</v>
      </c>
      <c r="AZ56" s="409">
        <v>0</v>
      </c>
      <c r="BA56" s="409"/>
      <c r="BB56" s="409">
        <v>0</v>
      </c>
      <c r="BC56" s="409">
        <v>0</v>
      </c>
      <c r="BD56" s="409">
        <v>0</v>
      </c>
      <c r="BE56" s="409">
        <v>0</v>
      </c>
      <c r="BF56" s="409">
        <v>0</v>
      </c>
      <c r="BG56" s="409">
        <v>77.826559250017667</v>
      </c>
      <c r="BH56" s="409">
        <v>0</v>
      </c>
      <c r="BI56" s="409">
        <v>0</v>
      </c>
      <c r="BJ56" s="409">
        <v>0</v>
      </c>
      <c r="BK56" s="409">
        <v>636.70000000000005</v>
      </c>
      <c r="BL56" s="409">
        <v>3</v>
      </c>
      <c r="BM56" s="409"/>
      <c r="BN56" s="409"/>
      <c r="BO56" s="409"/>
      <c r="BP56" s="409"/>
      <c r="BQ56" s="409"/>
      <c r="BR56" s="409"/>
      <c r="BS56" s="409"/>
      <c r="BT56" s="409"/>
      <c r="BU56" s="409"/>
      <c r="BV56" s="409">
        <v>651.49029524658283</v>
      </c>
      <c r="BW56" s="409"/>
      <c r="BX56" s="409"/>
      <c r="BY56" s="409"/>
      <c r="BZ56" s="409"/>
      <c r="CA56" s="409"/>
      <c r="CB56" s="409"/>
      <c r="CC56" s="409"/>
      <c r="CD56" s="409"/>
      <c r="CE56" s="409"/>
      <c r="CF56" s="409"/>
      <c r="CG56" s="409"/>
      <c r="CH56" s="409"/>
      <c r="CI56" s="409">
        <v>1796.6207999999999</v>
      </c>
      <c r="CJ56" s="409">
        <v>-184.23200000000043</v>
      </c>
      <c r="CK56" s="409"/>
      <c r="CL56" s="409"/>
      <c r="CM56" s="409"/>
      <c r="CN56" s="409"/>
      <c r="CO56" s="409">
        <v>-206.42605999999998</v>
      </c>
      <c r="CP56" s="409">
        <v>19.940220000000021</v>
      </c>
      <c r="CQ56" s="409">
        <v>30</v>
      </c>
      <c r="CR56" s="409">
        <v>35.057600836579468</v>
      </c>
      <c r="CS56" s="409">
        <v>0</v>
      </c>
      <c r="CT56" s="409">
        <v>0</v>
      </c>
      <c r="CU56" s="409">
        <v>0</v>
      </c>
      <c r="CV56" s="409">
        <v>0</v>
      </c>
      <c r="CW56" s="409">
        <v>0</v>
      </c>
      <c r="CX56" s="409">
        <v>0</v>
      </c>
      <c r="CY56" s="409">
        <v>0</v>
      </c>
      <c r="CZ56" s="409">
        <v>10.355457156745445</v>
      </c>
      <c r="DA56" s="409">
        <v>0</v>
      </c>
      <c r="DB56" s="409">
        <v>0</v>
      </c>
      <c r="DC56" s="409">
        <v>26.279482253360584</v>
      </c>
      <c r="DD56" s="409">
        <v>0</v>
      </c>
      <c r="DE56" s="409">
        <v>0</v>
      </c>
      <c r="DF56" s="409">
        <v>0</v>
      </c>
      <c r="DG56" s="409">
        <v>3.5652274221201878</v>
      </c>
      <c r="DH56" s="409">
        <v>0</v>
      </c>
      <c r="DI56" s="409">
        <v>-0.42773005341835102</v>
      </c>
      <c r="DJ56" s="409"/>
      <c r="DK56" s="409">
        <v>0</v>
      </c>
      <c r="DL56" s="409">
        <v>0</v>
      </c>
      <c r="DM56" s="409">
        <v>0</v>
      </c>
      <c r="DN56" s="409">
        <v>0</v>
      </c>
      <c r="DO56" s="409">
        <v>-0.13430623225668725</v>
      </c>
      <c r="DP56" s="409">
        <v>-0.23836216311548686</v>
      </c>
      <c r="DQ56" s="409">
        <v>0</v>
      </c>
      <c r="DR56" s="409">
        <v>-4.3421675468561585</v>
      </c>
      <c r="DS56" s="409"/>
      <c r="DT56" s="409"/>
      <c r="DU56" s="409"/>
      <c r="DV56" s="409">
        <v>966.46080286604217</v>
      </c>
      <c r="DW56" s="409">
        <v>0</v>
      </c>
      <c r="DX56" s="409">
        <v>0</v>
      </c>
      <c r="DY56" s="409">
        <v>-206.42606000000001</v>
      </c>
      <c r="DZ56" s="409">
        <v>19.940219999999954</v>
      </c>
      <c r="EA56" s="409">
        <v>0</v>
      </c>
      <c r="EB56" s="409">
        <v>0</v>
      </c>
      <c r="EC56" s="409">
        <v>-221.53554180182607</v>
      </c>
      <c r="ED56" s="409">
        <v>0</v>
      </c>
      <c r="EE56" s="409">
        <v>0</v>
      </c>
      <c r="EF56" s="409">
        <v>0</v>
      </c>
      <c r="EG56" s="409">
        <v>0</v>
      </c>
      <c r="EH56" s="409">
        <v>0</v>
      </c>
      <c r="EI56" s="409">
        <v>0</v>
      </c>
      <c r="EJ56" s="409">
        <v>0</v>
      </c>
      <c r="EK56" s="409">
        <v>0</v>
      </c>
      <c r="EL56" s="409">
        <v>0</v>
      </c>
      <c r="EM56" s="409">
        <v>0</v>
      </c>
      <c r="EN56" s="409">
        <v>0</v>
      </c>
      <c r="EO56" s="409">
        <v>0</v>
      </c>
      <c r="EP56" s="409">
        <v>0</v>
      </c>
      <c r="EQ56" s="409">
        <v>0</v>
      </c>
      <c r="ER56" s="409">
        <v>0</v>
      </c>
      <c r="ES56" s="409">
        <v>0</v>
      </c>
      <c r="ET56" s="409">
        <v>0</v>
      </c>
      <c r="EU56" s="409">
        <v>0</v>
      </c>
      <c r="EV56" s="409">
        <v>254</v>
      </c>
      <c r="EW56" s="409">
        <v>0</v>
      </c>
      <c r="EX56" s="409">
        <v>0</v>
      </c>
      <c r="EY56" s="409">
        <v>0</v>
      </c>
      <c r="EZ56" s="409"/>
      <c r="FA56" s="409">
        <v>0</v>
      </c>
      <c r="FB56" s="409"/>
      <c r="FC56" s="409"/>
      <c r="FD56" s="409"/>
      <c r="FE56" s="409"/>
      <c r="FF56" s="409">
        <v>0</v>
      </c>
      <c r="FG56" s="409">
        <v>0</v>
      </c>
      <c r="FH56" s="409">
        <v>0</v>
      </c>
      <c r="FI56" s="409">
        <v>0</v>
      </c>
    </row>
    <row r="57" spans="1:165" customFormat="1">
      <c r="A57" s="409">
        <v>55</v>
      </c>
      <c r="B57" s="409" t="s">
        <v>1035</v>
      </c>
      <c r="C57" s="409" t="s">
        <v>2244</v>
      </c>
      <c r="D57" s="409" t="s">
        <v>2254</v>
      </c>
      <c r="E57" s="409" t="s">
        <v>973</v>
      </c>
      <c r="F57" s="409" t="s">
        <v>2261</v>
      </c>
      <c r="G57" s="409" t="s">
        <v>2262</v>
      </c>
      <c r="H57" s="409" t="s">
        <v>1323</v>
      </c>
      <c r="I57" s="409" t="s">
        <v>1323</v>
      </c>
      <c r="J57" s="409" t="s">
        <v>2245</v>
      </c>
      <c r="K57" s="835">
        <v>44348</v>
      </c>
      <c r="L57" s="409">
        <v>0</v>
      </c>
      <c r="M57" s="409">
        <v>0</v>
      </c>
      <c r="N57" s="409">
        <v>0</v>
      </c>
      <c r="O57" s="409">
        <v>0</v>
      </c>
      <c r="P57" s="409">
        <v>0</v>
      </c>
      <c r="Q57" s="409">
        <v>0</v>
      </c>
      <c r="R57" s="409"/>
      <c r="S57" s="409"/>
      <c r="T57" s="409"/>
      <c r="U57" s="409"/>
      <c r="V57" s="409"/>
      <c r="W57" s="409"/>
      <c r="X57" s="409"/>
      <c r="Y57" s="409"/>
      <c r="Z57" s="409"/>
      <c r="AA57" s="409">
        <v>0</v>
      </c>
      <c r="AB57" s="409"/>
      <c r="AC57" s="409"/>
      <c r="AD57" s="409"/>
      <c r="AE57" s="409"/>
      <c r="AF57" s="409"/>
      <c r="AG57" s="409"/>
      <c r="AH57" s="409"/>
      <c r="AI57" s="409"/>
      <c r="AJ57" s="409"/>
      <c r="AK57" s="409"/>
      <c r="AL57" s="409"/>
      <c r="AM57" s="409"/>
      <c r="AN57" s="409"/>
      <c r="AO57" s="409"/>
      <c r="AP57" s="409"/>
      <c r="AQ57" s="409"/>
      <c r="AR57" s="409"/>
      <c r="AS57" s="409"/>
      <c r="AT57" s="409"/>
      <c r="AU57" s="409"/>
      <c r="AV57" s="409"/>
      <c r="AW57" s="409"/>
      <c r="AX57" s="409"/>
      <c r="AY57" s="409"/>
      <c r="AZ57" s="409">
        <v>0</v>
      </c>
      <c r="BA57" s="409"/>
      <c r="BB57" s="409"/>
      <c r="BC57" s="409"/>
      <c r="BD57" s="409"/>
      <c r="BE57" s="409"/>
      <c r="BF57" s="409"/>
      <c r="BG57" s="409"/>
      <c r="BH57" s="409"/>
      <c r="BI57" s="409">
        <v>0</v>
      </c>
      <c r="BJ57" s="409">
        <v>0</v>
      </c>
      <c r="BK57" s="409">
        <v>0</v>
      </c>
      <c r="BL57" s="409">
        <v>7</v>
      </c>
      <c r="BM57" s="409"/>
      <c r="BN57" s="409"/>
      <c r="BO57" s="409"/>
      <c r="BP57" s="409"/>
      <c r="BQ57" s="409"/>
      <c r="BR57" s="409"/>
      <c r="BS57" s="409"/>
      <c r="BT57" s="409"/>
      <c r="BU57" s="409"/>
      <c r="BV57" s="409"/>
      <c r="BW57" s="409"/>
      <c r="BX57" s="409"/>
      <c r="BY57" s="409"/>
      <c r="BZ57" s="409"/>
      <c r="CA57" s="409"/>
      <c r="CB57" s="409"/>
      <c r="CC57" s="409"/>
      <c r="CD57" s="409"/>
      <c r="CE57" s="409"/>
      <c r="CF57" s="409"/>
      <c r="CG57" s="409"/>
      <c r="CH57" s="409"/>
      <c r="CI57" s="409"/>
      <c r="CJ57" s="409">
        <v>-0.03</v>
      </c>
      <c r="CK57" s="409"/>
      <c r="CL57" s="409"/>
      <c r="CM57" s="409"/>
      <c r="CN57" s="409"/>
      <c r="CO57" s="409">
        <v>0</v>
      </c>
      <c r="CP57" s="409">
        <v>0</v>
      </c>
      <c r="CQ57" s="409">
        <v>30</v>
      </c>
      <c r="CR57" s="409"/>
      <c r="CS57" s="409"/>
      <c r="CT57" s="409"/>
      <c r="CU57" s="409"/>
      <c r="CV57" s="409"/>
      <c r="CW57" s="409"/>
      <c r="CX57" s="409"/>
      <c r="CY57" s="409"/>
      <c r="CZ57" s="409"/>
      <c r="DA57" s="409"/>
      <c r="DB57" s="409"/>
      <c r="DC57" s="409"/>
      <c r="DD57" s="409"/>
      <c r="DE57" s="409"/>
      <c r="DF57" s="409"/>
      <c r="DG57" s="409"/>
      <c r="DH57" s="409"/>
      <c r="DI57" s="409"/>
      <c r="DJ57" s="409"/>
      <c r="DK57" s="409">
        <v>0</v>
      </c>
      <c r="DL57" s="409"/>
      <c r="DM57" s="409"/>
      <c r="DN57" s="409"/>
      <c r="DO57" s="409"/>
      <c r="DP57" s="409"/>
      <c r="DQ57" s="409"/>
      <c r="DR57" s="409"/>
      <c r="DS57" s="409"/>
      <c r="DT57" s="409"/>
      <c r="DU57" s="409"/>
      <c r="DV57" s="409"/>
      <c r="DW57" s="409"/>
      <c r="DX57" s="409"/>
      <c r="DY57" s="409"/>
      <c r="DZ57" s="409"/>
      <c r="EA57" s="409"/>
      <c r="EB57" s="409"/>
      <c r="EC57" s="409"/>
      <c r="ED57" s="409"/>
      <c r="EE57" s="409"/>
      <c r="EF57" s="409"/>
      <c r="EG57" s="409"/>
      <c r="EH57" s="409"/>
      <c r="EI57" s="409"/>
      <c r="EJ57" s="409"/>
      <c r="EK57" s="409"/>
      <c r="EL57" s="409"/>
      <c r="EM57" s="409"/>
      <c r="EN57" s="409"/>
      <c r="EO57" s="409"/>
      <c r="EP57" s="409"/>
      <c r="EQ57" s="409"/>
      <c r="ER57" s="409"/>
      <c r="ES57" s="409"/>
      <c r="ET57" s="409"/>
      <c r="EU57" s="409"/>
      <c r="EV57" s="409">
        <v>254</v>
      </c>
      <c r="EW57" s="409"/>
      <c r="EX57" s="409"/>
      <c r="EY57" s="409"/>
      <c r="EZ57" s="409"/>
      <c r="FA57" s="409">
        <v>0</v>
      </c>
      <c r="FB57" s="409"/>
      <c r="FC57" s="409"/>
      <c r="FD57" s="409"/>
      <c r="FE57" s="409"/>
      <c r="FF57" s="409">
        <v>0</v>
      </c>
      <c r="FG57" s="409">
        <v>0</v>
      </c>
      <c r="FH57" s="409">
        <v>0</v>
      </c>
      <c r="FI57" s="409">
        <v>0</v>
      </c>
    </row>
    <row r="58" spans="1:165" customFormat="1">
      <c r="A58" s="409">
        <v>56</v>
      </c>
      <c r="B58" s="409" t="s">
        <v>1035</v>
      </c>
      <c r="C58" s="409" t="s">
        <v>2244</v>
      </c>
      <c r="D58" s="409" t="s">
        <v>2254</v>
      </c>
      <c r="E58" s="409" t="s">
        <v>973</v>
      </c>
      <c r="F58" s="409" t="s">
        <v>2261</v>
      </c>
      <c r="G58" s="409" t="s">
        <v>2262</v>
      </c>
      <c r="H58" s="409" t="s">
        <v>1323</v>
      </c>
      <c r="I58" s="409" t="s">
        <v>1323</v>
      </c>
      <c r="J58" s="409" t="s">
        <v>2245</v>
      </c>
      <c r="K58" s="835">
        <v>44348</v>
      </c>
      <c r="L58" s="409">
        <v>0</v>
      </c>
      <c r="M58" s="409">
        <v>0</v>
      </c>
      <c r="N58" s="409">
        <v>1.21</v>
      </c>
      <c r="O58" s="409">
        <v>1.21</v>
      </c>
      <c r="P58" s="409">
        <v>1.21</v>
      </c>
      <c r="Q58" s="409">
        <v>1.21</v>
      </c>
      <c r="R58" s="409"/>
      <c r="S58" s="409">
        <v>597.01</v>
      </c>
      <c r="T58" s="409">
        <v>243.39</v>
      </c>
      <c r="U58" s="409"/>
      <c r="V58" s="409">
        <v>1016.8839999999999</v>
      </c>
      <c r="W58" s="409">
        <v>1016.8839999999999</v>
      </c>
      <c r="X58" s="409">
        <v>921.14879999999994</v>
      </c>
      <c r="Y58" s="409">
        <v>0</v>
      </c>
      <c r="Z58" s="409">
        <v>30.109007732889097</v>
      </c>
      <c r="AA58" s="409">
        <v>0</v>
      </c>
      <c r="AB58" s="409">
        <v>0</v>
      </c>
      <c r="AC58" s="409">
        <v>0</v>
      </c>
      <c r="AD58" s="409">
        <v>141.79876938785074</v>
      </c>
      <c r="AE58" s="409">
        <v>496.14661496305087</v>
      </c>
      <c r="AF58" s="409">
        <v>294.49856620952215</v>
      </c>
      <c r="AG58" s="409">
        <v>0</v>
      </c>
      <c r="AH58" s="409">
        <v>0</v>
      </c>
      <c r="AI58" s="409">
        <v>0</v>
      </c>
      <c r="AJ58" s="409">
        <v>0</v>
      </c>
      <c r="AK58" s="409">
        <v>0</v>
      </c>
      <c r="AL58" s="409">
        <v>12.292499898749728</v>
      </c>
      <c r="AM58" s="409"/>
      <c r="AN58" s="409">
        <v>2.0774144183902119</v>
      </c>
      <c r="AO58" s="409">
        <v>0</v>
      </c>
      <c r="AP58" s="409">
        <v>0</v>
      </c>
      <c r="AQ58" s="409">
        <v>0</v>
      </c>
      <c r="AR58" s="409">
        <v>0</v>
      </c>
      <c r="AS58" s="409">
        <v>0</v>
      </c>
      <c r="AT58" s="409">
        <v>0</v>
      </c>
      <c r="AU58" s="409">
        <v>0</v>
      </c>
      <c r="AV58" s="409">
        <v>0</v>
      </c>
      <c r="AW58" s="409">
        <v>0</v>
      </c>
      <c r="AX58" s="409">
        <v>0</v>
      </c>
      <c r="AY58" s="409">
        <v>0</v>
      </c>
      <c r="AZ58" s="409">
        <v>0</v>
      </c>
      <c r="BA58" s="409"/>
      <c r="BB58" s="409">
        <v>0</v>
      </c>
      <c r="BC58" s="409">
        <v>0</v>
      </c>
      <c r="BD58" s="409">
        <v>0</v>
      </c>
      <c r="BE58" s="409">
        <v>0</v>
      </c>
      <c r="BF58" s="409">
        <v>0</v>
      </c>
      <c r="BG58" s="409">
        <v>39.953388499160532</v>
      </c>
      <c r="BH58" s="409">
        <v>0</v>
      </c>
      <c r="BI58" s="409">
        <v>0</v>
      </c>
      <c r="BJ58" s="409">
        <v>0</v>
      </c>
      <c r="BK58" s="409">
        <v>0</v>
      </c>
      <c r="BL58" s="409">
        <v>0</v>
      </c>
      <c r="BM58" s="409"/>
      <c r="BN58" s="409"/>
      <c r="BO58" s="409"/>
      <c r="BP58" s="409"/>
      <c r="BQ58" s="409"/>
      <c r="BR58" s="409">
        <v>110.54559999999998</v>
      </c>
      <c r="BS58" s="409"/>
      <c r="BT58" s="409"/>
      <c r="BU58" s="409"/>
      <c r="BV58" s="409">
        <v>334.45195470868271</v>
      </c>
      <c r="BW58" s="409"/>
      <c r="BX58" s="409"/>
      <c r="BY58" s="409"/>
      <c r="BZ58" s="409"/>
      <c r="CA58" s="409"/>
      <c r="CB58" s="409"/>
      <c r="CC58" s="409"/>
      <c r="CD58" s="409"/>
      <c r="CE58" s="409"/>
      <c r="CF58" s="409"/>
      <c r="CG58" s="409"/>
      <c r="CH58" s="409"/>
      <c r="CI58" s="409">
        <v>810.60320000000002</v>
      </c>
      <c r="CJ58" s="409">
        <v>-84.28229999999985</v>
      </c>
      <c r="CK58" s="409"/>
      <c r="CL58" s="409"/>
      <c r="CM58" s="409"/>
      <c r="CN58" s="409"/>
      <c r="CO58" s="409">
        <v>-105.97179999999997</v>
      </c>
      <c r="CP58" s="409">
        <v>10.23660000000001</v>
      </c>
      <c r="CQ58" s="409">
        <v>30</v>
      </c>
      <c r="CR58" s="409">
        <v>17.997325843131534</v>
      </c>
      <c r="CS58" s="409">
        <v>0</v>
      </c>
      <c r="CT58" s="409">
        <v>0</v>
      </c>
      <c r="CU58" s="409">
        <v>0</v>
      </c>
      <c r="CV58" s="409">
        <v>0</v>
      </c>
      <c r="CW58" s="409">
        <v>0</v>
      </c>
      <c r="CX58" s="409">
        <v>0</v>
      </c>
      <c r="CY58" s="409">
        <v>0</v>
      </c>
      <c r="CZ58" s="409">
        <v>5.3161235297674807</v>
      </c>
      <c r="DA58" s="409">
        <v>0</v>
      </c>
      <c r="DB58" s="409">
        <v>0</v>
      </c>
      <c r="DC58" s="409">
        <v>13.490951856837626</v>
      </c>
      <c r="DD58" s="409">
        <v>0</v>
      </c>
      <c r="DE58" s="409">
        <v>0</v>
      </c>
      <c r="DF58" s="409">
        <v>0</v>
      </c>
      <c r="DG58" s="409">
        <v>1.8302610015975489</v>
      </c>
      <c r="DH58" s="409">
        <v>0</v>
      </c>
      <c r="DI58" s="409">
        <v>-0.21958140205184762</v>
      </c>
      <c r="DJ58" s="409"/>
      <c r="DK58" s="409">
        <v>0</v>
      </c>
      <c r="DL58" s="409">
        <v>0</v>
      </c>
      <c r="DM58" s="409">
        <v>0</v>
      </c>
      <c r="DN58" s="409">
        <v>0</v>
      </c>
      <c r="DO58" s="409">
        <v>-6.8948044561130573E-2</v>
      </c>
      <c r="DP58" s="409">
        <v>-0.12236665989382223</v>
      </c>
      <c r="DQ58" s="409">
        <v>0</v>
      </c>
      <c r="DR58" s="409">
        <v>-2.2291144385642561</v>
      </c>
      <c r="DS58" s="409"/>
      <c r="DT58" s="409"/>
      <c r="DU58" s="409"/>
      <c r="DV58" s="409">
        <v>496.14661496305087</v>
      </c>
      <c r="DW58" s="409">
        <v>0</v>
      </c>
      <c r="DX58" s="409">
        <v>0</v>
      </c>
      <c r="DY58" s="409">
        <v>-105.97179999999992</v>
      </c>
      <c r="DZ58" s="409">
        <v>10.23660000000001</v>
      </c>
      <c r="EA58" s="409">
        <v>0</v>
      </c>
      <c r="EB58" s="409">
        <v>0</v>
      </c>
      <c r="EC58" s="409">
        <v>-113.72847075952882</v>
      </c>
      <c r="ED58" s="409">
        <v>0</v>
      </c>
      <c r="EE58" s="409">
        <v>0</v>
      </c>
      <c r="EF58" s="409">
        <v>0</v>
      </c>
      <c r="EG58" s="409">
        <v>0</v>
      </c>
      <c r="EH58" s="409">
        <v>0</v>
      </c>
      <c r="EI58" s="409">
        <v>0</v>
      </c>
      <c r="EJ58" s="409">
        <v>0</v>
      </c>
      <c r="EK58" s="409">
        <v>0</v>
      </c>
      <c r="EL58" s="409">
        <v>0</v>
      </c>
      <c r="EM58" s="409">
        <v>0</v>
      </c>
      <c r="EN58" s="409">
        <v>0</v>
      </c>
      <c r="EO58" s="409">
        <v>0</v>
      </c>
      <c r="EP58" s="409">
        <v>0</v>
      </c>
      <c r="EQ58" s="409">
        <v>0</v>
      </c>
      <c r="ER58" s="409">
        <v>0</v>
      </c>
      <c r="ES58" s="409">
        <v>0</v>
      </c>
      <c r="ET58" s="409">
        <v>0</v>
      </c>
      <c r="EU58" s="409">
        <v>0</v>
      </c>
      <c r="EV58" s="409">
        <v>254</v>
      </c>
      <c r="EW58" s="409">
        <v>0</v>
      </c>
      <c r="EX58" s="409">
        <v>0</v>
      </c>
      <c r="EY58" s="409">
        <v>0</v>
      </c>
      <c r="EZ58" s="409"/>
      <c r="FA58" s="409">
        <v>0</v>
      </c>
      <c r="FB58" s="409"/>
      <c r="FC58" s="409"/>
      <c r="FD58" s="409"/>
      <c r="FE58" s="409"/>
      <c r="FF58" s="409">
        <v>0</v>
      </c>
      <c r="FG58" s="409">
        <v>0</v>
      </c>
      <c r="FH58" s="409">
        <v>0</v>
      </c>
      <c r="FI58" s="409">
        <v>0</v>
      </c>
    </row>
    <row r="59" spans="1:165" customFormat="1">
      <c r="A59" s="409">
        <v>57</v>
      </c>
      <c r="B59" s="409" t="s">
        <v>1035</v>
      </c>
      <c r="C59" s="409" t="s">
        <v>2244</v>
      </c>
      <c r="D59" s="409" t="s">
        <v>2254</v>
      </c>
      <c r="E59" s="409" t="s">
        <v>973</v>
      </c>
      <c r="F59" s="409" t="s">
        <v>2261</v>
      </c>
      <c r="G59" s="409" t="s">
        <v>2263</v>
      </c>
      <c r="H59" s="409" t="s">
        <v>1323</v>
      </c>
      <c r="I59" s="409" t="s">
        <v>1323</v>
      </c>
      <c r="J59" s="409" t="s">
        <v>2245</v>
      </c>
      <c r="K59" s="835">
        <v>44348</v>
      </c>
      <c r="L59" s="409">
        <v>0</v>
      </c>
      <c r="M59" s="409">
        <v>0</v>
      </c>
      <c r="N59" s="409">
        <v>0.34200000000000003</v>
      </c>
      <c r="O59" s="409">
        <v>9.2340000000000005E-2</v>
      </c>
      <c r="P59" s="409">
        <v>0.34200000000000003</v>
      </c>
      <c r="Q59" s="409">
        <v>9.2340000000000005E-2</v>
      </c>
      <c r="R59" s="409"/>
      <c r="S59" s="409">
        <v>597.01</v>
      </c>
      <c r="T59" s="409">
        <v>243.39</v>
      </c>
      <c r="U59" s="409"/>
      <c r="V59" s="409">
        <v>287.41680000000002</v>
      </c>
      <c r="W59" s="409">
        <v>287.41680000000002</v>
      </c>
      <c r="X59" s="409">
        <v>260.35775999999998</v>
      </c>
      <c r="Y59" s="409">
        <v>0</v>
      </c>
      <c r="Z59" s="409">
        <v>8.5101492930975802</v>
      </c>
      <c r="AA59" s="409">
        <v>0</v>
      </c>
      <c r="AB59" s="409">
        <v>0</v>
      </c>
      <c r="AC59" s="409">
        <v>0</v>
      </c>
      <c r="AD59" s="409">
        <v>40.078660438549548</v>
      </c>
      <c r="AE59" s="409">
        <v>140.23317546889538</v>
      </c>
      <c r="AF59" s="409">
        <v>83.238437722030241</v>
      </c>
      <c r="AG59" s="409">
        <v>0</v>
      </c>
      <c r="AH59" s="409">
        <v>0</v>
      </c>
      <c r="AI59" s="409">
        <v>0</v>
      </c>
      <c r="AJ59" s="409">
        <v>0</v>
      </c>
      <c r="AK59" s="409">
        <v>0</v>
      </c>
      <c r="AL59" s="409">
        <v>3.474409062291246</v>
      </c>
      <c r="AM59" s="409"/>
      <c r="AN59" s="409">
        <v>0.58717002569376242</v>
      </c>
      <c r="AO59" s="409">
        <v>0</v>
      </c>
      <c r="AP59" s="409">
        <v>0</v>
      </c>
      <c r="AQ59" s="409">
        <v>0</v>
      </c>
      <c r="AR59" s="409">
        <v>0</v>
      </c>
      <c r="AS59" s="409">
        <v>0</v>
      </c>
      <c r="AT59" s="409">
        <v>0</v>
      </c>
      <c r="AU59" s="409">
        <v>0</v>
      </c>
      <c r="AV59" s="409">
        <v>0</v>
      </c>
      <c r="AW59" s="409">
        <v>0</v>
      </c>
      <c r="AX59" s="409">
        <v>0</v>
      </c>
      <c r="AY59" s="409">
        <v>0</v>
      </c>
      <c r="AZ59" s="409">
        <v>0</v>
      </c>
      <c r="BA59" s="409"/>
      <c r="BB59" s="409">
        <v>0</v>
      </c>
      <c r="BC59" s="409">
        <v>0</v>
      </c>
      <c r="BD59" s="409">
        <v>0</v>
      </c>
      <c r="BE59" s="409">
        <v>0</v>
      </c>
      <c r="BF59" s="409">
        <v>0</v>
      </c>
      <c r="BG59" s="409">
        <v>11.292610633647026</v>
      </c>
      <c r="BH59" s="409">
        <v>0</v>
      </c>
      <c r="BI59" s="409">
        <v>0</v>
      </c>
      <c r="BJ59" s="409">
        <v>0</v>
      </c>
      <c r="BK59" s="409">
        <v>0</v>
      </c>
      <c r="BL59" s="409">
        <v>0</v>
      </c>
      <c r="BM59" s="409"/>
      <c r="BN59" s="409"/>
      <c r="BO59" s="409"/>
      <c r="BP59" s="409"/>
      <c r="BQ59" s="409"/>
      <c r="BR59" s="409"/>
      <c r="BS59" s="409">
        <v>198.49734720000001</v>
      </c>
      <c r="BT59" s="409"/>
      <c r="BU59" s="409"/>
      <c r="BV59" s="409">
        <v>94.531048355677271</v>
      </c>
      <c r="BW59" s="409"/>
      <c r="BX59" s="409"/>
      <c r="BY59" s="409"/>
      <c r="BZ59" s="409"/>
      <c r="CA59" s="409"/>
      <c r="CB59" s="409"/>
      <c r="CC59" s="409"/>
      <c r="CD59" s="409"/>
      <c r="CE59" s="409"/>
      <c r="CF59" s="409"/>
      <c r="CG59" s="409"/>
      <c r="CH59" s="409"/>
      <c r="CI59" s="409">
        <v>60.2928</v>
      </c>
      <c r="CJ59" s="409">
        <v>-8.0272470000000027</v>
      </c>
      <c r="CK59" s="409"/>
      <c r="CL59" s="409"/>
      <c r="CM59" s="409"/>
      <c r="CN59" s="409"/>
      <c r="CO59" s="409">
        <v>-29.952359999999995</v>
      </c>
      <c r="CP59" s="409">
        <v>2.8933200000000028</v>
      </c>
      <c r="CQ59" s="409">
        <v>30</v>
      </c>
      <c r="CR59" s="409">
        <v>5.0868474697115573</v>
      </c>
      <c r="CS59" s="409">
        <v>0</v>
      </c>
      <c r="CT59" s="409">
        <v>0</v>
      </c>
      <c r="CU59" s="409">
        <v>0</v>
      </c>
      <c r="CV59" s="409">
        <v>0</v>
      </c>
      <c r="CW59" s="409">
        <v>0</v>
      </c>
      <c r="CX59" s="409">
        <v>0</v>
      </c>
      <c r="CY59" s="409">
        <v>0</v>
      </c>
      <c r="CZ59" s="409">
        <v>1.5025737580004019</v>
      </c>
      <c r="DA59" s="409">
        <v>0</v>
      </c>
      <c r="DB59" s="409">
        <v>0</v>
      </c>
      <c r="DC59" s="409">
        <v>3.8131450702797167</v>
      </c>
      <c r="DD59" s="409">
        <v>0</v>
      </c>
      <c r="DE59" s="409">
        <v>0</v>
      </c>
      <c r="DF59" s="409">
        <v>0</v>
      </c>
      <c r="DG59" s="409">
        <v>0.51731344012096159</v>
      </c>
      <c r="DH59" s="409">
        <v>0</v>
      </c>
      <c r="DI59" s="409">
        <v>-6.2063503720439783E-2</v>
      </c>
      <c r="DJ59" s="409"/>
      <c r="DK59" s="409">
        <v>0</v>
      </c>
      <c r="DL59" s="409">
        <v>0</v>
      </c>
      <c r="DM59" s="409">
        <v>0</v>
      </c>
      <c r="DN59" s="409">
        <v>0</v>
      </c>
      <c r="DO59" s="409">
        <v>-1.9487794413146187E-2</v>
      </c>
      <c r="DP59" s="409">
        <v>-3.4586279077427395E-2</v>
      </c>
      <c r="DQ59" s="409">
        <v>0</v>
      </c>
      <c r="DR59" s="409">
        <v>-0.63004722147849224</v>
      </c>
      <c r="DS59" s="409"/>
      <c r="DT59" s="409"/>
      <c r="DU59" s="409"/>
      <c r="DV59" s="409">
        <v>140.23317546889538</v>
      </c>
      <c r="DW59" s="409">
        <v>0</v>
      </c>
      <c r="DX59" s="409">
        <v>0</v>
      </c>
      <c r="DY59" s="409">
        <v>-29.952359999999999</v>
      </c>
      <c r="DZ59" s="409">
        <v>2.8933200000000028</v>
      </c>
      <c r="EA59" s="409">
        <v>0</v>
      </c>
      <c r="EB59" s="409">
        <v>0</v>
      </c>
      <c r="EC59" s="409">
        <v>-32.144741322114768</v>
      </c>
      <c r="ED59" s="409">
        <v>0</v>
      </c>
      <c r="EE59" s="409">
        <v>0</v>
      </c>
      <c r="EF59" s="409">
        <v>0</v>
      </c>
      <c r="EG59" s="409">
        <v>0</v>
      </c>
      <c r="EH59" s="409">
        <v>0</v>
      </c>
      <c r="EI59" s="409">
        <v>0</v>
      </c>
      <c r="EJ59" s="409">
        <v>0</v>
      </c>
      <c r="EK59" s="409">
        <v>0</v>
      </c>
      <c r="EL59" s="409">
        <v>0</v>
      </c>
      <c r="EM59" s="409">
        <v>0</v>
      </c>
      <c r="EN59" s="409">
        <v>0</v>
      </c>
      <c r="EO59" s="409">
        <v>0</v>
      </c>
      <c r="EP59" s="409">
        <v>0</v>
      </c>
      <c r="EQ59" s="409">
        <v>0</v>
      </c>
      <c r="ER59" s="409">
        <v>0</v>
      </c>
      <c r="ES59" s="409">
        <v>0</v>
      </c>
      <c r="ET59" s="409">
        <v>0</v>
      </c>
      <c r="EU59" s="409">
        <v>0</v>
      </c>
      <c r="EV59" s="409">
        <v>254</v>
      </c>
      <c r="EW59" s="409">
        <v>0</v>
      </c>
      <c r="EX59" s="409">
        <v>0</v>
      </c>
      <c r="EY59" s="409">
        <v>0</v>
      </c>
      <c r="EZ59" s="409"/>
      <c r="FA59" s="409">
        <v>0</v>
      </c>
      <c r="FB59" s="409"/>
      <c r="FC59" s="409"/>
      <c r="FD59" s="409"/>
      <c r="FE59" s="409"/>
      <c r="FF59" s="409">
        <v>0</v>
      </c>
      <c r="FG59" s="409">
        <v>0</v>
      </c>
      <c r="FH59" s="409">
        <v>0</v>
      </c>
      <c r="FI59" s="409">
        <v>0</v>
      </c>
    </row>
    <row r="60" spans="1:165" customFormat="1">
      <c r="A60" s="409">
        <v>58</v>
      </c>
      <c r="B60" s="409" t="s">
        <v>1035</v>
      </c>
      <c r="C60" s="409" t="s">
        <v>2244</v>
      </c>
      <c r="D60" s="409" t="s">
        <v>1991</v>
      </c>
      <c r="E60" s="409" t="s">
        <v>968</v>
      </c>
      <c r="F60" s="409" t="s">
        <v>968</v>
      </c>
      <c r="G60" s="409" t="s">
        <v>1323</v>
      </c>
      <c r="H60" s="409" t="s">
        <v>1323</v>
      </c>
      <c r="I60" s="409" t="s">
        <v>1323</v>
      </c>
      <c r="J60" s="409" t="s">
        <v>2245</v>
      </c>
      <c r="K60" s="835">
        <v>44378</v>
      </c>
      <c r="L60" s="409">
        <v>0</v>
      </c>
      <c r="M60" s="409">
        <v>0</v>
      </c>
      <c r="N60" s="409">
        <v>192.77</v>
      </c>
      <c r="O60" s="409">
        <v>192.77</v>
      </c>
      <c r="P60" s="409">
        <v>192.77</v>
      </c>
      <c r="Q60" s="409">
        <v>192.77</v>
      </c>
      <c r="R60" s="409"/>
      <c r="S60" s="409">
        <v>597.01</v>
      </c>
      <c r="T60" s="409">
        <v>243.39</v>
      </c>
      <c r="U60" s="409"/>
      <c r="V60" s="409">
        <v>162003.908</v>
      </c>
      <c r="W60" s="409">
        <v>162003.908</v>
      </c>
      <c r="X60" s="409">
        <v>146751.94560000001</v>
      </c>
      <c r="Y60" s="409">
        <v>0</v>
      </c>
      <c r="Z60" s="409">
        <v>4796.7879509661416</v>
      </c>
      <c r="AA60" s="409">
        <v>0</v>
      </c>
      <c r="AB60" s="409">
        <v>0</v>
      </c>
      <c r="AC60" s="409">
        <v>0</v>
      </c>
      <c r="AD60" s="409">
        <v>22590.536177599992</v>
      </c>
      <c r="AE60" s="409">
        <v>79043.126418534986</v>
      </c>
      <c r="AF60" s="409">
        <v>46917.759180338508</v>
      </c>
      <c r="AG60" s="409">
        <v>0</v>
      </c>
      <c r="AH60" s="409">
        <v>0</v>
      </c>
      <c r="AI60" s="409">
        <v>0</v>
      </c>
      <c r="AJ60" s="409">
        <v>0</v>
      </c>
      <c r="AK60" s="409">
        <v>0</v>
      </c>
      <c r="AL60" s="409">
        <v>1958.3679384148641</v>
      </c>
      <c r="AM60" s="409"/>
      <c r="AN60" s="409">
        <v>330.96130366370346</v>
      </c>
      <c r="AO60" s="409">
        <v>0</v>
      </c>
      <c r="AP60" s="409">
        <v>0</v>
      </c>
      <c r="AQ60" s="409">
        <v>0</v>
      </c>
      <c r="AR60" s="409">
        <v>0</v>
      </c>
      <c r="AS60" s="409">
        <v>0</v>
      </c>
      <c r="AT60" s="409">
        <v>0</v>
      </c>
      <c r="AU60" s="409">
        <v>0</v>
      </c>
      <c r="AV60" s="409">
        <v>0</v>
      </c>
      <c r="AW60" s="409">
        <v>0</v>
      </c>
      <c r="AX60" s="409">
        <v>0</v>
      </c>
      <c r="AY60" s="409">
        <v>0</v>
      </c>
      <c r="AZ60" s="409">
        <v>0</v>
      </c>
      <c r="BA60" s="409"/>
      <c r="BB60" s="409">
        <v>0</v>
      </c>
      <c r="BC60" s="409">
        <v>0</v>
      </c>
      <c r="BD60" s="409">
        <v>0</v>
      </c>
      <c r="BE60" s="409">
        <v>0</v>
      </c>
      <c r="BF60" s="409">
        <v>0</v>
      </c>
      <c r="BG60" s="409">
        <v>6365.1361165150211</v>
      </c>
      <c r="BH60" s="409">
        <v>0</v>
      </c>
      <c r="BI60" s="409">
        <v>41.77</v>
      </c>
      <c r="BJ60" s="409">
        <v>192.87</v>
      </c>
      <c r="BK60" s="409">
        <v>1223.8800000000001</v>
      </c>
      <c r="BL60" s="409">
        <v>2004</v>
      </c>
      <c r="BM60" s="409"/>
      <c r="BN60" s="409"/>
      <c r="BO60" s="409"/>
      <c r="BP60" s="409"/>
      <c r="BQ60" s="409"/>
      <c r="BR60" s="409"/>
      <c r="BS60" s="409"/>
      <c r="BT60" s="409"/>
      <c r="BU60" s="409"/>
      <c r="BV60" s="409">
        <v>53282.89529685353</v>
      </c>
      <c r="BW60" s="409"/>
      <c r="BX60" s="409"/>
      <c r="BY60" s="409"/>
      <c r="BZ60" s="409"/>
      <c r="CA60" s="409"/>
      <c r="CB60" s="409"/>
      <c r="CC60" s="409"/>
      <c r="CD60" s="409"/>
      <c r="CE60" s="409"/>
      <c r="CF60" s="409"/>
      <c r="CG60" s="409"/>
      <c r="CH60" s="409"/>
      <c r="CI60" s="409">
        <v>146751.94560000001</v>
      </c>
      <c r="CJ60" s="409">
        <v>-15251.992399999988</v>
      </c>
      <c r="CK60" s="409"/>
      <c r="CL60" s="409"/>
      <c r="CM60" s="409"/>
      <c r="CN60" s="409"/>
      <c r="CO60" s="409">
        <v>-16882.796599999998</v>
      </c>
      <c r="CP60" s="409">
        <v>1630.8342000000016</v>
      </c>
      <c r="CQ60" s="409">
        <v>31</v>
      </c>
      <c r="CR60" s="409">
        <v>2867.2268618020316</v>
      </c>
      <c r="CS60" s="409">
        <v>0</v>
      </c>
      <c r="CT60" s="409">
        <v>0</v>
      </c>
      <c r="CU60" s="409">
        <v>0</v>
      </c>
      <c r="CV60" s="409">
        <v>0</v>
      </c>
      <c r="CW60" s="409">
        <v>0</v>
      </c>
      <c r="CX60" s="409">
        <v>0</v>
      </c>
      <c r="CY60" s="409">
        <v>0</v>
      </c>
      <c r="CZ60" s="409">
        <v>846.93316763080657</v>
      </c>
      <c r="DA60" s="409">
        <v>0</v>
      </c>
      <c r="DB60" s="409">
        <v>0</v>
      </c>
      <c r="DC60" s="409">
        <v>2149.2981730930478</v>
      </c>
      <c r="DD60" s="409">
        <v>0</v>
      </c>
      <c r="DE60" s="409">
        <v>0</v>
      </c>
      <c r="DF60" s="409">
        <v>0</v>
      </c>
      <c r="DG60" s="409">
        <v>291.58629196525635</v>
      </c>
      <c r="DH60" s="409">
        <v>0</v>
      </c>
      <c r="DI60" s="409">
        <v>-34.982402374821504</v>
      </c>
      <c r="DJ60" s="409"/>
      <c r="DK60" s="409">
        <v>0</v>
      </c>
      <c r="DL60" s="409">
        <v>0</v>
      </c>
      <c r="DM60" s="409">
        <v>0</v>
      </c>
      <c r="DN60" s="409">
        <v>0</v>
      </c>
      <c r="DO60" s="409">
        <v>-10.984392190123572</v>
      </c>
      <c r="DP60" s="409">
        <v>-19.494728122092681</v>
      </c>
      <c r="DQ60" s="409">
        <v>0</v>
      </c>
      <c r="DR60" s="409">
        <v>-355.12924820002615</v>
      </c>
      <c r="DS60" s="409"/>
      <c r="DT60" s="409"/>
      <c r="DU60" s="409"/>
      <c r="DV60" s="409">
        <v>79043.126418534986</v>
      </c>
      <c r="DW60" s="409">
        <v>0</v>
      </c>
      <c r="DX60" s="409">
        <v>0</v>
      </c>
      <c r="DY60" s="409">
        <v>-16882.796600000001</v>
      </c>
      <c r="DZ60" s="409">
        <v>1630.8341999999975</v>
      </c>
      <c r="EA60" s="409">
        <v>0</v>
      </c>
      <c r="EB60" s="409">
        <v>0</v>
      </c>
      <c r="EC60" s="409">
        <v>-18118.543230011892</v>
      </c>
      <c r="ED60" s="409">
        <v>0</v>
      </c>
      <c r="EE60" s="409">
        <v>0</v>
      </c>
      <c r="EF60" s="409">
        <v>0</v>
      </c>
      <c r="EG60" s="409">
        <v>0</v>
      </c>
      <c r="EH60" s="409">
        <v>0</v>
      </c>
      <c r="EI60" s="409">
        <v>0</v>
      </c>
      <c r="EJ60" s="409">
        <v>0</v>
      </c>
      <c r="EK60" s="409">
        <v>0</v>
      </c>
      <c r="EL60" s="409">
        <v>0</v>
      </c>
      <c r="EM60" s="409">
        <v>0</v>
      </c>
      <c r="EN60" s="409">
        <v>0</v>
      </c>
      <c r="EO60" s="409">
        <v>0</v>
      </c>
      <c r="EP60" s="409">
        <v>0</v>
      </c>
      <c r="EQ60" s="409">
        <v>0</v>
      </c>
      <c r="ER60" s="409">
        <v>0</v>
      </c>
      <c r="ES60" s="409">
        <v>0</v>
      </c>
      <c r="ET60" s="409">
        <v>0</v>
      </c>
      <c r="EU60" s="409">
        <v>0</v>
      </c>
      <c r="EV60" s="409">
        <v>254</v>
      </c>
      <c r="EW60" s="409">
        <v>0</v>
      </c>
      <c r="EX60" s="409">
        <v>0</v>
      </c>
      <c r="EY60" s="409">
        <v>0</v>
      </c>
      <c r="EZ60" s="409"/>
      <c r="FA60" s="409">
        <v>0</v>
      </c>
      <c r="FB60" s="409"/>
      <c r="FC60" s="409"/>
      <c r="FD60" s="409"/>
      <c r="FE60" s="409"/>
      <c r="FF60" s="409">
        <v>0</v>
      </c>
      <c r="FG60" s="409">
        <v>0</v>
      </c>
      <c r="FH60" s="409">
        <v>0</v>
      </c>
      <c r="FI60" s="409">
        <v>0</v>
      </c>
    </row>
    <row r="61" spans="1:165" customFormat="1">
      <c r="A61" s="409">
        <v>59</v>
      </c>
      <c r="B61" s="409" t="s">
        <v>2246</v>
      </c>
      <c r="C61" s="409" t="s">
        <v>2244</v>
      </c>
      <c r="D61" s="409" t="s">
        <v>1991</v>
      </c>
      <c r="E61" s="409" t="s">
        <v>968</v>
      </c>
      <c r="F61" s="409" t="s">
        <v>968</v>
      </c>
      <c r="G61" s="409" t="s">
        <v>1323</v>
      </c>
      <c r="H61" s="409" t="s">
        <v>1323</v>
      </c>
      <c r="I61" s="409" t="s">
        <v>1323</v>
      </c>
      <c r="J61" s="409" t="s">
        <v>2245</v>
      </c>
      <c r="K61" s="835">
        <v>44378</v>
      </c>
      <c r="L61" s="409">
        <v>0</v>
      </c>
      <c r="M61" s="409">
        <v>0</v>
      </c>
      <c r="N61" s="409">
        <v>1.478</v>
      </c>
      <c r="O61" s="409">
        <v>1.478</v>
      </c>
      <c r="P61" s="409">
        <v>1.478</v>
      </c>
      <c r="Q61" s="409">
        <v>1.478</v>
      </c>
      <c r="R61" s="409"/>
      <c r="S61" s="409">
        <v>597.01</v>
      </c>
      <c r="T61" s="409">
        <v>243.39</v>
      </c>
      <c r="U61" s="409"/>
      <c r="V61" s="409">
        <v>1242.1111999999998</v>
      </c>
      <c r="W61" s="409">
        <v>1242.1111999999998</v>
      </c>
      <c r="X61" s="409">
        <v>1125.17184</v>
      </c>
      <c r="Y61" s="409">
        <v>0</v>
      </c>
      <c r="Z61" s="409">
        <v>36.777779693562053</v>
      </c>
      <c r="AA61" s="409">
        <v>0</v>
      </c>
      <c r="AB61" s="409">
        <v>0</v>
      </c>
      <c r="AC61" s="409">
        <v>0</v>
      </c>
      <c r="AD61" s="409">
        <v>173.20543897127553</v>
      </c>
      <c r="AE61" s="409">
        <v>606.03693959949521</v>
      </c>
      <c r="AF61" s="409">
        <v>359.72634781625931</v>
      </c>
      <c r="AG61" s="409">
        <v>0</v>
      </c>
      <c r="AH61" s="409">
        <v>0</v>
      </c>
      <c r="AI61" s="409">
        <v>0</v>
      </c>
      <c r="AJ61" s="409">
        <v>0</v>
      </c>
      <c r="AK61" s="409">
        <v>0</v>
      </c>
      <c r="AL61" s="409">
        <v>15.015136239960412</v>
      </c>
      <c r="AM61" s="409"/>
      <c r="AN61" s="409">
        <v>2.5375359589923416</v>
      </c>
      <c r="AO61" s="409">
        <v>0</v>
      </c>
      <c r="AP61" s="409">
        <v>0</v>
      </c>
      <c r="AQ61" s="409">
        <v>0</v>
      </c>
      <c r="AR61" s="409">
        <v>0</v>
      </c>
      <c r="AS61" s="409">
        <v>0</v>
      </c>
      <c r="AT61" s="409">
        <v>0</v>
      </c>
      <c r="AU61" s="409">
        <v>0</v>
      </c>
      <c r="AV61" s="409">
        <v>0</v>
      </c>
      <c r="AW61" s="409">
        <v>0</v>
      </c>
      <c r="AX61" s="409">
        <v>0</v>
      </c>
      <c r="AY61" s="409">
        <v>0</v>
      </c>
      <c r="AZ61" s="409">
        <v>0</v>
      </c>
      <c r="BA61" s="409"/>
      <c r="BB61" s="409">
        <v>0</v>
      </c>
      <c r="BC61" s="409">
        <v>0</v>
      </c>
      <c r="BD61" s="409">
        <v>0</v>
      </c>
      <c r="BE61" s="409">
        <v>0</v>
      </c>
      <c r="BF61" s="409">
        <v>0</v>
      </c>
      <c r="BG61" s="409">
        <v>48.802568761784514</v>
      </c>
      <c r="BH61" s="409">
        <v>0</v>
      </c>
      <c r="BI61" s="409">
        <v>0</v>
      </c>
      <c r="BJ61" s="409">
        <v>0</v>
      </c>
      <c r="BK61" s="409">
        <v>0</v>
      </c>
      <c r="BL61" s="409">
        <v>8</v>
      </c>
      <c r="BM61" s="409"/>
      <c r="BN61" s="409"/>
      <c r="BO61" s="409"/>
      <c r="BP61" s="409"/>
      <c r="BQ61" s="409"/>
      <c r="BR61" s="409"/>
      <c r="BS61" s="409"/>
      <c r="BT61" s="409"/>
      <c r="BU61" s="409"/>
      <c r="BV61" s="409">
        <v>408.52891657804383</v>
      </c>
      <c r="BW61" s="409"/>
      <c r="BX61" s="409"/>
      <c r="BY61" s="409"/>
      <c r="BZ61" s="409"/>
      <c r="CA61" s="409"/>
      <c r="CB61" s="409"/>
      <c r="CC61" s="409"/>
      <c r="CD61" s="409"/>
      <c r="CE61" s="409"/>
      <c r="CF61" s="409"/>
      <c r="CG61" s="409"/>
      <c r="CH61" s="409"/>
      <c r="CI61" s="409">
        <v>1126.6944000000001</v>
      </c>
      <c r="CJ61" s="409">
        <v>-115.44679999999971</v>
      </c>
      <c r="CK61" s="409"/>
      <c r="CL61" s="409"/>
      <c r="CM61" s="409"/>
      <c r="CN61" s="409"/>
      <c r="CO61" s="409">
        <v>-129.44323999999997</v>
      </c>
      <c r="CP61" s="409">
        <v>12.503880000000011</v>
      </c>
      <c r="CQ61" s="409">
        <v>31</v>
      </c>
      <c r="CR61" s="409">
        <v>21.98351041004014</v>
      </c>
      <c r="CS61" s="409">
        <v>0</v>
      </c>
      <c r="CT61" s="409">
        <v>0</v>
      </c>
      <c r="CU61" s="409">
        <v>0</v>
      </c>
      <c r="CV61" s="409">
        <v>0</v>
      </c>
      <c r="CW61" s="409">
        <v>0</v>
      </c>
      <c r="CX61" s="409">
        <v>0</v>
      </c>
      <c r="CY61" s="409">
        <v>0</v>
      </c>
      <c r="CZ61" s="409">
        <v>6.4935789892531943</v>
      </c>
      <c r="DA61" s="409">
        <v>0</v>
      </c>
      <c r="DB61" s="409">
        <v>0</v>
      </c>
      <c r="DC61" s="409">
        <v>16.479030449922334</v>
      </c>
      <c r="DD61" s="409">
        <v>0</v>
      </c>
      <c r="DE61" s="409">
        <v>0</v>
      </c>
      <c r="DF61" s="409">
        <v>0</v>
      </c>
      <c r="DG61" s="409">
        <v>2.2356411242654346</v>
      </c>
      <c r="DH61" s="409">
        <v>0</v>
      </c>
      <c r="DI61" s="409">
        <v>-0.2682159605228307</v>
      </c>
      <c r="DJ61" s="409"/>
      <c r="DK61" s="409">
        <v>0</v>
      </c>
      <c r="DL61" s="409">
        <v>0</v>
      </c>
      <c r="DM61" s="409">
        <v>0</v>
      </c>
      <c r="DN61" s="409">
        <v>0</v>
      </c>
      <c r="DO61" s="409">
        <v>-8.4219181703597101E-2</v>
      </c>
      <c r="DP61" s="409">
        <v>-0.14946935811823936</v>
      </c>
      <c r="DQ61" s="409">
        <v>0</v>
      </c>
      <c r="DR61" s="409">
        <v>-2.7228356530561739</v>
      </c>
      <c r="DS61" s="409"/>
      <c r="DT61" s="409"/>
      <c r="DU61" s="409"/>
      <c r="DV61" s="409">
        <v>606.03693959949521</v>
      </c>
      <c r="DW61" s="409">
        <v>0</v>
      </c>
      <c r="DX61" s="409">
        <v>0</v>
      </c>
      <c r="DY61" s="409">
        <v>-129.44323999999995</v>
      </c>
      <c r="DZ61" s="409">
        <v>12.503879999999981</v>
      </c>
      <c r="EA61" s="409">
        <v>0</v>
      </c>
      <c r="EB61" s="409">
        <v>0</v>
      </c>
      <c r="EC61" s="409">
        <v>-138.91791717568896</v>
      </c>
      <c r="ED61" s="409">
        <v>0</v>
      </c>
      <c r="EE61" s="409">
        <v>0</v>
      </c>
      <c r="EF61" s="409">
        <v>0</v>
      </c>
      <c r="EG61" s="409">
        <v>0</v>
      </c>
      <c r="EH61" s="409">
        <v>0</v>
      </c>
      <c r="EI61" s="409">
        <v>0</v>
      </c>
      <c r="EJ61" s="409">
        <v>0</v>
      </c>
      <c r="EK61" s="409">
        <v>0</v>
      </c>
      <c r="EL61" s="409">
        <v>0</v>
      </c>
      <c r="EM61" s="409">
        <v>0</v>
      </c>
      <c r="EN61" s="409">
        <v>0</v>
      </c>
      <c r="EO61" s="409">
        <v>0</v>
      </c>
      <c r="EP61" s="409">
        <v>0</v>
      </c>
      <c r="EQ61" s="409">
        <v>0</v>
      </c>
      <c r="ER61" s="409">
        <v>0</v>
      </c>
      <c r="ES61" s="409">
        <v>0</v>
      </c>
      <c r="ET61" s="409">
        <v>0</v>
      </c>
      <c r="EU61" s="409">
        <v>0</v>
      </c>
      <c r="EV61" s="409">
        <v>254</v>
      </c>
      <c r="EW61" s="409">
        <v>0</v>
      </c>
      <c r="EX61" s="409">
        <v>0</v>
      </c>
      <c r="EY61" s="409">
        <v>0</v>
      </c>
      <c r="EZ61" s="409"/>
      <c r="FA61" s="409">
        <v>0</v>
      </c>
      <c r="FB61" s="409"/>
      <c r="FC61" s="409"/>
      <c r="FD61" s="409"/>
      <c r="FE61" s="409"/>
      <c r="FF61" s="409">
        <v>0</v>
      </c>
      <c r="FG61" s="409">
        <v>0</v>
      </c>
      <c r="FH61" s="409">
        <v>0</v>
      </c>
      <c r="FI61" s="409">
        <v>0</v>
      </c>
    </row>
    <row r="62" spans="1:165" customFormat="1">
      <c r="A62" s="409">
        <v>60</v>
      </c>
      <c r="B62" s="409" t="s">
        <v>1035</v>
      </c>
      <c r="C62" s="409" t="s">
        <v>2244</v>
      </c>
      <c r="D62" s="409" t="s">
        <v>1991</v>
      </c>
      <c r="E62" s="409" t="s">
        <v>968</v>
      </c>
      <c r="F62" s="409" t="s">
        <v>2247</v>
      </c>
      <c r="G62" s="409" t="s">
        <v>1323</v>
      </c>
      <c r="H62" s="409" t="s">
        <v>1323</v>
      </c>
      <c r="I62" s="409" t="s">
        <v>1323</v>
      </c>
      <c r="J62" s="409" t="s">
        <v>2245</v>
      </c>
      <c r="K62" s="835">
        <v>44378</v>
      </c>
      <c r="L62" s="409">
        <v>0</v>
      </c>
      <c r="M62" s="409">
        <v>0</v>
      </c>
      <c r="N62" s="409">
        <v>60.3</v>
      </c>
      <c r="O62" s="409">
        <v>60.3</v>
      </c>
      <c r="P62" s="409">
        <v>60.3</v>
      </c>
      <c r="Q62" s="409">
        <v>60.3</v>
      </c>
      <c r="R62" s="409"/>
      <c r="S62" s="409">
        <v>561.96</v>
      </c>
      <c r="T62" s="409">
        <v>243.39</v>
      </c>
      <c r="U62" s="409"/>
      <c r="V62" s="409">
        <v>48562.604999999996</v>
      </c>
      <c r="W62" s="409">
        <v>48562.604999999996</v>
      </c>
      <c r="X62" s="409">
        <v>43803.125999999997</v>
      </c>
      <c r="Y62" s="409">
        <v>0</v>
      </c>
      <c r="Z62" s="409">
        <v>0</v>
      </c>
      <c r="AA62" s="409">
        <v>0</v>
      </c>
      <c r="AB62" s="409">
        <v>0</v>
      </c>
      <c r="AC62" s="409">
        <v>0</v>
      </c>
      <c r="AD62" s="409">
        <v>7066.5006562705776</v>
      </c>
      <c r="AE62" s="409">
        <v>24725.323043199973</v>
      </c>
      <c r="AF62" s="409">
        <v>14676.250861515857</v>
      </c>
      <c r="AG62" s="409">
        <v>0</v>
      </c>
      <c r="AH62" s="409">
        <v>0</v>
      </c>
      <c r="AI62" s="409">
        <v>0</v>
      </c>
      <c r="AJ62" s="409">
        <v>0</v>
      </c>
      <c r="AK62" s="409">
        <v>0</v>
      </c>
      <c r="AL62" s="409">
        <v>0</v>
      </c>
      <c r="AM62" s="409"/>
      <c r="AN62" s="409">
        <v>103.52734663547915</v>
      </c>
      <c r="AO62" s="409">
        <v>0</v>
      </c>
      <c r="AP62" s="409">
        <v>0</v>
      </c>
      <c r="AQ62" s="409">
        <v>0</v>
      </c>
      <c r="AR62" s="409">
        <v>0</v>
      </c>
      <c r="AS62" s="409">
        <v>0</v>
      </c>
      <c r="AT62" s="409">
        <v>0</v>
      </c>
      <c r="AU62" s="409">
        <v>0</v>
      </c>
      <c r="AV62" s="409">
        <v>0</v>
      </c>
      <c r="AW62" s="409">
        <v>0</v>
      </c>
      <c r="AX62" s="409">
        <v>0</v>
      </c>
      <c r="AY62" s="409">
        <v>0</v>
      </c>
      <c r="AZ62" s="409">
        <v>0</v>
      </c>
      <c r="BA62" s="409"/>
      <c r="BB62" s="409">
        <v>0</v>
      </c>
      <c r="BC62" s="409">
        <v>0</v>
      </c>
      <c r="BD62" s="409">
        <v>0</v>
      </c>
      <c r="BE62" s="409">
        <v>0</v>
      </c>
      <c r="BF62" s="409">
        <v>0</v>
      </c>
      <c r="BG62" s="409">
        <v>1991.0655590903966</v>
      </c>
      <c r="BH62" s="409">
        <v>0</v>
      </c>
      <c r="BI62" s="409">
        <v>0</v>
      </c>
      <c r="BJ62" s="409">
        <v>0</v>
      </c>
      <c r="BK62" s="409">
        <v>0</v>
      </c>
      <c r="BL62" s="409">
        <v>148</v>
      </c>
      <c r="BM62" s="409"/>
      <c r="BN62" s="409"/>
      <c r="BO62" s="409"/>
      <c r="BP62" s="409"/>
      <c r="BQ62" s="409"/>
      <c r="BR62" s="409"/>
      <c r="BS62" s="409"/>
      <c r="BT62" s="409">
        <v>28471.851000000002</v>
      </c>
      <c r="BU62" s="409"/>
      <c r="BV62" s="409">
        <v>16667.316420606254</v>
      </c>
      <c r="BW62" s="409"/>
      <c r="BX62" s="409"/>
      <c r="BY62" s="409"/>
      <c r="BZ62" s="409"/>
      <c r="CA62" s="409"/>
      <c r="CB62" s="409"/>
      <c r="CC62" s="409"/>
      <c r="CD62" s="409"/>
      <c r="CE62" s="409"/>
      <c r="CF62" s="409"/>
      <c r="CG62" s="409"/>
      <c r="CH62" s="409"/>
      <c r="CI62" s="409">
        <v>15331.275</v>
      </c>
      <c r="CJ62" s="409">
        <v>-1666.118999999997</v>
      </c>
      <c r="CK62" s="409"/>
      <c r="CL62" s="409"/>
      <c r="CM62" s="409"/>
      <c r="CN62" s="409"/>
      <c r="CO62" s="409">
        <v>-5269.617000000002</v>
      </c>
      <c r="CP62" s="409">
        <v>510.13800000000043</v>
      </c>
      <c r="CQ62" s="409">
        <v>31</v>
      </c>
      <c r="CR62" s="409">
        <v>908.28719203699075</v>
      </c>
      <c r="CS62" s="409">
        <v>0</v>
      </c>
      <c r="CT62" s="409">
        <v>0</v>
      </c>
      <c r="CU62" s="409">
        <v>0</v>
      </c>
      <c r="CV62" s="409">
        <v>0</v>
      </c>
      <c r="CW62" s="409">
        <v>0</v>
      </c>
      <c r="CX62" s="409">
        <v>0</v>
      </c>
      <c r="CY62" s="409">
        <v>0</v>
      </c>
      <c r="CZ62" s="409">
        <v>264.92747838428113</v>
      </c>
      <c r="DA62" s="409">
        <v>0</v>
      </c>
      <c r="DB62" s="409">
        <v>0</v>
      </c>
      <c r="DC62" s="409">
        <v>672.31768344405646</v>
      </c>
      <c r="DD62" s="409">
        <v>0</v>
      </c>
      <c r="DE62" s="409">
        <v>0</v>
      </c>
      <c r="DF62" s="409">
        <v>0</v>
      </c>
      <c r="DG62" s="409">
        <v>91.210527600274418</v>
      </c>
      <c r="DH62" s="409">
        <v>0</v>
      </c>
      <c r="DI62" s="409">
        <v>0</v>
      </c>
      <c r="DJ62" s="409"/>
      <c r="DK62" s="409">
        <v>0</v>
      </c>
      <c r="DL62" s="409">
        <v>0</v>
      </c>
      <c r="DM62" s="409">
        <v>0</v>
      </c>
      <c r="DN62" s="409">
        <v>0</v>
      </c>
      <c r="DO62" s="409">
        <v>0</v>
      </c>
      <c r="DP62" s="409">
        <v>-6.0981071004937775</v>
      </c>
      <c r="DQ62" s="409">
        <v>0</v>
      </c>
      <c r="DR62" s="409">
        <v>-114.07039029112543</v>
      </c>
      <c r="DS62" s="409"/>
      <c r="DT62" s="409"/>
      <c r="DU62" s="409"/>
      <c r="DV62" s="409">
        <v>24725.323043199973</v>
      </c>
      <c r="DW62" s="409">
        <v>0</v>
      </c>
      <c r="DX62" s="409">
        <v>0</v>
      </c>
      <c r="DY62" s="409">
        <v>-5269.617000000002</v>
      </c>
      <c r="DZ62" s="409">
        <v>510.13800000000083</v>
      </c>
      <c r="EA62" s="409">
        <v>0</v>
      </c>
      <c r="EB62" s="409">
        <v>0</v>
      </c>
      <c r="EC62" s="409">
        <v>-5667.625443636025</v>
      </c>
      <c r="ED62" s="409">
        <v>0</v>
      </c>
      <c r="EE62" s="409">
        <v>0</v>
      </c>
      <c r="EF62" s="409">
        <v>0</v>
      </c>
      <c r="EG62" s="409">
        <v>0</v>
      </c>
      <c r="EH62" s="409">
        <v>0</v>
      </c>
      <c r="EI62" s="409">
        <v>0</v>
      </c>
      <c r="EJ62" s="409">
        <v>0</v>
      </c>
      <c r="EK62" s="409">
        <v>0</v>
      </c>
      <c r="EL62" s="409">
        <v>0</v>
      </c>
      <c r="EM62" s="409">
        <v>0</v>
      </c>
      <c r="EN62" s="409">
        <v>0</v>
      </c>
      <c r="EO62" s="409">
        <v>0</v>
      </c>
      <c r="EP62" s="409">
        <v>0</v>
      </c>
      <c r="EQ62" s="409">
        <v>0</v>
      </c>
      <c r="ER62" s="409">
        <v>0</v>
      </c>
      <c r="ES62" s="409">
        <v>0</v>
      </c>
      <c r="ET62" s="409">
        <v>0</v>
      </c>
      <c r="EU62" s="409">
        <v>0</v>
      </c>
      <c r="EV62" s="409">
        <v>254</v>
      </c>
      <c r="EW62" s="409">
        <v>0</v>
      </c>
      <c r="EX62" s="409">
        <v>0</v>
      </c>
      <c r="EY62" s="409">
        <v>0</v>
      </c>
      <c r="EZ62" s="409"/>
      <c r="FA62" s="409">
        <v>0</v>
      </c>
      <c r="FB62" s="409"/>
      <c r="FC62" s="409"/>
      <c r="FD62" s="409"/>
      <c r="FE62" s="409"/>
      <c r="FF62" s="409">
        <v>0</v>
      </c>
      <c r="FG62" s="409">
        <v>0</v>
      </c>
      <c r="FH62" s="409">
        <v>0</v>
      </c>
      <c r="FI62" s="409">
        <v>0</v>
      </c>
    </row>
    <row r="63" spans="1:165" customFormat="1">
      <c r="A63" s="409">
        <v>61</v>
      </c>
      <c r="B63" s="409" t="s">
        <v>1035</v>
      </c>
      <c r="C63" s="409" t="s">
        <v>2244</v>
      </c>
      <c r="D63" s="409" t="s">
        <v>1991</v>
      </c>
      <c r="E63" s="409" t="s">
        <v>968</v>
      </c>
      <c r="F63" s="409" t="s">
        <v>2248</v>
      </c>
      <c r="G63" s="409" t="s">
        <v>1323</v>
      </c>
      <c r="H63" s="409" t="s">
        <v>1323</v>
      </c>
      <c r="I63" s="409" t="s">
        <v>1323</v>
      </c>
      <c r="J63" s="409" t="s">
        <v>2245</v>
      </c>
      <c r="K63" s="835">
        <v>44378</v>
      </c>
      <c r="L63" s="409">
        <v>0</v>
      </c>
      <c r="M63" s="409">
        <v>0</v>
      </c>
      <c r="N63" s="409">
        <v>87.186000000000007</v>
      </c>
      <c r="O63" s="409">
        <v>87.186000000000007</v>
      </c>
      <c r="P63" s="409">
        <v>87.186000000000007</v>
      </c>
      <c r="Q63" s="409">
        <v>87.186000000000007</v>
      </c>
      <c r="R63" s="409"/>
      <c r="S63" s="409">
        <v>561.96</v>
      </c>
      <c r="T63" s="409">
        <v>243.39</v>
      </c>
      <c r="U63" s="409"/>
      <c r="V63" s="409">
        <v>70215.245100000015</v>
      </c>
      <c r="W63" s="409">
        <v>70215.245100000015</v>
      </c>
      <c r="X63" s="409">
        <v>63333.654120000007</v>
      </c>
      <c r="Y63" s="409">
        <v>0</v>
      </c>
      <c r="Z63" s="409">
        <v>0</v>
      </c>
      <c r="AA63" s="409">
        <v>0</v>
      </c>
      <c r="AB63" s="409">
        <v>0</v>
      </c>
      <c r="AC63" s="409">
        <v>0</v>
      </c>
      <c r="AD63" s="409">
        <v>10217.245874255501</v>
      </c>
      <c r="AE63" s="409">
        <v>35749.618819974014</v>
      </c>
      <c r="AF63" s="409">
        <v>21219.960325242482</v>
      </c>
      <c r="AG63" s="409">
        <v>0</v>
      </c>
      <c r="AH63" s="409">
        <v>0</v>
      </c>
      <c r="AI63" s="409">
        <v>0</v>
      </c>
      <c r="AJ63" s="409">
        <v>0</v>
      </c>
      <c r="AK63" s="409">
        <v>0</v>
      </c>
      <c r="AL63" s="409">
        <v>0</v>
      </c>
      <c r="AM63" s="409"/>
      <c r="AN63" s="409">
        <v>149.68715163782565</v>
      </c>
      <c r="AO63" s="409">
        <v>0</v>
      </c>
      <c r="AP63" s="409">
        <v>0</v>
      </c>
      <c r="AQ63" s="409">
        <v>0</v>
      </c>
      <c r="AR63" s="409">
        <v>0</v>
      </c>
      <c r="AS63" s="409">
        <v>0</v>
      </c>
      <c r="AT63" s="409">
        <v>0</v>
      </c>
      <c r="AU63" s="409">
        <v>0</v>
      </c>
      <c r="AV63" s="409">
        <v>0</v>
      </c>
      <c r="AW63" s="409">
        <v>0</v>
      </c>
      <c r="AX63" s="409">
        <v>0</v>
      </c>
      <c r="AY63" s="409">
        <v>0</v>
      </c>
      <c r="AZ63" s="409">
        <v>0</v>
      </c>
      <c r="BA63" s="409"/>
      <c r="BB63" s="409">
        <v>0</v>
      </c>
      <c r="BC63" s="409">
        <v>0</v>
      </c>
      <c r="BD63" s="409">
        <v>0</v>
      </c>
      <c r="BE63" s="409">
        <v>0</v>
      </c>
      <c r="BF63" s="409">
        <v>0</v>
      </c>
      <c r="BG63" s="409">
        <v>2878.8232476758762</v>
      </c>
      <c r="BH63" s="409">
        <v>0</v>
      </c>
      <c r="BI63" s="409">
        <v>0</v>
      </c>
      <c r="BJ63" s="409">
        <v>0</v>
      </c>
      <c r="BK63" s="409">
        <v>0</v>
      </c>
      <c r="BL63" s="409">
        <v>1310</v>
      </c>
      <c r="BM63" s="409"/>
      <c r="BN63" s="409"/>
      <c r="BO63" s="409"/>
      <c r="BP63" s="409"/>
      <c r="BQ63" s="409"/>
      <c r="BR63" s="409"/>
      <c r="BS63" s="409"/>
      <c r="BT63" s="409">
        <v>25333.636019999998</v>
      </c>
      <c r="BU63" s="409"/>
      <c r="BV63" s="409">
        <v>24098.783572918357</v>
      </c>
      <c r="BW63" s="409"/>
      <c r="BX63" s="409"/>
      <c r="BY63" s="409"/>
      <c r="BZ63" s="409"/>
      <c r="CA63" s="409"/>
      <c r="CB63" s="409"/>
      <c r="CC63" s="409"/>
      <c r="CD63" s="409"/>
      <c r="CE63" s="409"/>
      <c r="CF63" s="409"/>
      <c r="CG63" s="409"/>
      <c r="CH63" s="409"/>
      <c r="CI63" s="409">
        <v>38001.761500000001</v>
      </c>
      <c r="CJ63" s="409">
        <v>-4127.4155600000013</v>
      </c>
      <c r="CK63" s="409"/>
      <c r="CL63" s="409"/>
      <c r="CM63" s="409"/>
      <c r="CN63" s="409"/>
      <c r="CO63" s="409">
        <v>-7619.1845400000047</v>
      </c>
      <c r="CP63" s="409">
        <v>737.59356000000071</v>
      </c>
      <c r="CQ63" s="409">
        <v>31</v>
      </c>
      <c r="CR63" s="409">
        <v>1313.2657897999597</v>
      </c>
      <c r="CS63" s="409">
        <v>0</v>
      </c>
      <c r="CT63" s="409">
        <v>0</v>
      </c>
      <c r="CU63" s="409">
        <v>0</v>
      </c>
      <c r="CV63" s="409">
        <v>0</v>
      </c>
      <c r="CW63" s="409">
        <v>0</v>
      </c>
      <c r="CX63" s="409">
        <v>0</v>
      </c>
      <c r="CY63" s="409">
        <v>0</v>
      </c>
      <c r="CZ63" s="409">
        <v>383.05086451761053</v>
      </c>
      <c r="DA63" s="409">
        <v>0</v>
      </c>
      <c r="DB63" s="409">
        <v>0</v>
      </c>
      <c r="DC63" s="409">
        <v>972.08440379358944</v>
      </c>
      <c r="DD63" s="409">
        <v>0</v>
      </c>
      <c r="DE63" s="409">
        <v>0</v>
      </c>
      <c r="DF63" s="409">
        <v>0</v>
      </c>
      <c r="DG63" s="409">
        <v>131.87862453329262</v>
      </c>
      <c r="DH63" s="409">
        <v>0</v>
      </c>
      <c r="DI63" s="409">
        <v>0</v>
      </c>
      <c r="DJ63" s="409"/>
      <c r="DK63" s="409">
        <v>0</v>
      </c>
      <c r="DL63" s="409">
        <v>0</v>
      </c>
      <c r="DM63" s="409">
        <v>0</v>
      </c>
      <c r="DN63" s="409">
        <v>0</v>
      </c>
      <c r="DO63" s="409">
        <v>0</v>
      </c>
      <c r="DP63" s="409">
        <v>-8.8170740574403226</v>
      </c>
      <c r="DQ63" s="409">
        <v>0</v>
      </c>
      <c r="DR63" s="409">
        <v>-164.9310289870989</v>
      </c>
      <c r="DS63" s="409"/>
      <c r="DT63" s="409"/>
      <c r="DU63" s="409"/>
      <c r="DV63" s="409">
        <v>35749.618819974014</v>
      </c>
      <c r="DW63" s="409">
        <v>0</v>
      </c>
      <c r="DX63" s="409">
        <v>0</v>
      </c>
      <c r="DY63" s="409">
        <v>-7619.1845400000093</v>
      </c>
      <c r="DZ63" s="409">
        <v>737.59356000000116</v>
      </c>
      <c r="EA63" s="409">
        <v>0</v>
      </c>
      <c r="EB63" s="409">
        <v>0</v>
      </c>
      <c r="EC63" s="409">
        <v>-8194.6532658184151</v>
      </c>
      <c r="ED63" s="409">
        <v>0</v>
      </c>
      <c r="EE63" s="409">
        <v>0</v>
      </c>
      <c r="EF63" s="409">
        <v>0</v>
      </c>
      <c r="EG63" s="409">
        <v>0</v>
      </c>
      <c r="EH63" s="409">
        <v>0</v>
      </c>
      <c r="EI63" s="409">
        <v>0</v>
      </c>
      <c r="EJ63" s="409">
        <v>0</v>
      </c>
      <c r="EK63" s="409">
        <v>0</v>
      </c>
      <c r="EL63" s="409">
        <v>0</v>
      </c>
      <c r="EM63" s="409">
        <v>0</v>
      </c>
      <c r="EN63" s="409">
        <v>0</v>
      </c>
      <c r="EO63" s="409">
        <v>0</v>
      </c>
      <c r="EP63" s="409">
        <v>0</v>
      </c>
      <c r="EQ63" s="409">
        <v>0</v>
      </c>
      <c r="ER63" s="409">
        <v>0</v>
      </c>
      <c r="ES63" s="409">
        <v>0</v>
      </c>
      <c r="ET63" s="409">
        <v>0</v>
      </c>
      <c r="EU63" s="409">
        <v>0</v>
      </c>
      <c r="EV63" s="409">
        <v>254</v>
      </c>
      <c r="EW63" s="409">
        <v>0</v>
      </c>
      <c r="EX63" s="409">
        <v>0</v>
      </c>
      <c r="EY63" s="409">
        <v>0</v>
      </c>
      <c r="EZ63" s="409"/>
      <c r="FA63" s="409">
        <v>0</v>
      </c>
      <c r="FB63" s="409"/>
      <c r="FC63" s="409"/>
      <c r="FD63" s="409"/>
      <c r="FE63" s="409"/>
      <c r="FF63" s="409">
        <v>0</v>
      </c>
      <c r="FG63" s="409">
        <v>0</v>
      </c>
      <c r="FH63" s="409">
        <v>0</v>
      </c>
      <c r="FI63" s="409">
        <v>0</v>
      </c>
    </row>
    <row r="64" spans="1:165" customFormat="1">
      <c r="A64" s="409">
        <v>62</v>
      </c>
      <c r="B64" s="409" t="s">
        <v>1035</v>
      </c>
      <c r="C64" s="409" t="s">
        <v>2244</v>
      </c>
      <c r="D64" s="409" t="s">
        <v>1991</v>
      </c>
      <c r="E64" s="409" t="s">
        <v>968</v>
      </c>
      <c r="F64" s="409" t="s">
        <v>2249</v>
      </c>
      <c r="G64" s="409" t="s">
        <v>1323</v>
      </c>
      <c r="H64" s="409" t="s">
        <v>1323</v>
      </c>
      <c r="I64" s="409" t="s">
        <v>1323</v>
      </c>
      <c r="J64" s="409" t="s">
        <v>2245</v>
      </c>
      <c r="K64" s="835">
        <v>44378</v>
      </c>
      <c r="L64" s="409">
        <v>0</v>
      </c>
      <c r="M64" s="409">
        <v>0</v>
      </c>
      <c r="N64" s="409">
        <v>23.824999999999999</v>
      </c>
      <c r="O64" s="409">
        <v>23.824999999999999</v>
      </c>
      <c r="P64" s="409">
        <v>23.824999999999999</v>
      </c>
      <c r="Q64" s="409">
        <v>23.824999999999999</v>
      </c>
      <c r="R64" s="409"/>
      <c r="S64" s="409">
        <v>561.96</v>
      </c>
      <c r="T64" s="409">
        <v>243.39</v>
      </c>
      <c r="U64" s="409"/>
      <c r="V64" s="409">
        <v>19187.463749999999</v>
      </c>
      <c r="W64" s="409">
        <v>19187.463749999999</v>
      </c>
      <c r="X64" s="409">
        <v>17306.9565</v>
      </c>
      <c r="Y64" s="409">
        <v>0</v>
      </c>
      <c r="Z64" s="409">
        <v>0</v>
      </c>
      <c r="AA64" s="409">
        <v>0</v>
      </c>
      <c r="AB64" s="409">
        <v>0</v>
      </c>
      <c r="AC64" s="409">
        <v>0</v>
      </c>
      <c r="AD64" s="409">
        <v>2792.0294881533418</v>
      </c>
      <c r="AE64" s="409">
        <v>9769.1678524749477</v>
      </c>
      <c r="AF64" s="409">
        <v>5798.7011073899712</v>
      </c>
      <c r="AG64" s="409">
        <v>0</v>
      </c>
      <c r="AH64" s="409">
        <v>0</v>
      </c>
      <c r="AI64" s="409">
        <v>0</v>
      </c>
      <c r="AJ64" s="409">
        <v>0</v>
      </c>
      <c r="AK64" s="409">
        <v>0</v>
      </c>
      <c r="AL64" s="409">
        <v>0</v>
      </c>
      <c r="AM64" s="409"/>
      <c r="AN64" s="409">
        <v>40.904461585245286</v>
      </c>
      <c r="AO64" s="409">
        <v>0</v>
      </c>
      <c r="AP64" s="409">
        <v>0</v>
      </c>
      <c r="AQ64" s="409">
        <v>0</v>
      </c>
      <c r="AR64" s="409">
        <v>0</v>
      </c>
      <c r="AS64" s="409">
        <v>0</v>
      </c>
      <c r="AT64" s="409">
        <v>0</v>
      </c>
      <c r="AU64" s="409">
        <v>0</v>
      </c>
      <c r="AV64" s="409">
        <v>0</v>
      </c>
      <c r="AW64" s="409">
        <v>0</v>
      </c>
      <c r="AX64" s="409">
        <v>0</v>
      </c>
      <c r="AY64" s="409">
        <v>0</v>
      </c>
      <c r="AZ64" s="409">
        <v>0</v>
      </c>
      <c r="BA64" s="409"/>
      <c r="BB64" s="409">
        <v>0</v>
      </c>
      <c r="BC64" s="409">
        <v>0</v>
      </c>
      <c r="BD64" s="409">
        <v>0</v>
      </c>
      <c r="BE64" s="409">
        <v>0</v>
      </c>
      <c r="BF64" s="409">
        <v>0</v>
      </c>
      <c r="BG64" s="409">
        <v>786.68552148140463</v>
      </c>
      <c r="BH64" s="409">
        <v>0</v>
      </c>
      <c r="BI64" s="409">
        <v>0</v>
      </c>
      <c r="BJ64" s="409">
        <v>0</v>
      </c>
      <c r="BK64" s="409">
        <v>0</v>
      </c>
      <c r="BL64" s="409">
        <v>500</v>
      </c>
      <c r="BM64" s="409"/>
      <c r="BN64" s="409"/>
      <c r="BO64" s="409"/>
      <c r="BP64" s="409"/>
      <c r="BQ64" s="409"/>
      <c r="BR64" s="409"/>
      <c r="BS64" s="409"/>
      <c r="BT64" s="409">
        <v>1730.6479999999997</v>
      </c>
      <c r="BU64" s="409"/>
      <c r="BV64" s="409">
        <v>6585.3866288713762</v>
      </c>
      <c r="BW64" s="409"/>
      <c r="BX64" s="409"/>
      <c r="BY64" s="409"/>
      <c r="BZ64" s="409"/>
      <c r="CA64" s="409"/>
      <c r="CB64" s="409"/>
      <c r="CC64" s="409"/>
      <c r="CD64" s="409"/>
      <c r="CE64" s="409"/>
      <c r="CF64" s="409"/>
      <c r="CG64" s="409"/>
      <c r="CH64" s="409"/>
      <c r="CI64" s="409">
        <v>15579.577399999998</v>
      </c>
      <c r="CJ64" s="409">
        <v>-1689.2890999999981</v>
      </c>
      <c r="CK64" s="409"/>
      <c r="CL64" s="409"/>
      <c r="CM64" s="409"/>
      <c r="CN64" s="409"/>
      <c r="CO64" s="409">
        <v>-2082.0667500000009</v>
      </c>
      <c r="CP64" s="409">
        <v>201.55950000000018</v>
      </c>
      <c r="CQ64" s="409">
        <v>31</v>
      </c>
      <c r="CR64" s="409">
        <v>358.87134909256201</v>
      </c>
      <c r="CS64" s="409">
        <v>0</v>
      </c>
      <c r="CT64" s="409">
        <v>0</v>
      </c>
      <c r="CU64" s="409">
        <v>0</v>
      </c>
      <c r="CV64" s="409">
        <v>0</v>
      </c>
      <c r="CW64" s="409">
        <v>0</v>
      </c>
      <c r="CX64" s="409">
        <v>0</v>
      </c>
      <c r="CY64" s="409">
        <v>0</v>
      </c>
      <c r="CZ64" s="409">
        <v>104.67491165017418</v>
      </c>
      <c r="DA64" s="409">
        <v>0</v>
      </c>
      <c r="DB64" s="409">
        <v>0</v>
      </c>
      <c r="DC64" s="409">
        <v>265.6379570158324</v>
      </c>
      <c r="DD64" s="409">
        <v>0</v>
      </c>
      <c r="DE64" s="409">
        <v>0</v>
      </c>
      <c r="DF64" s="409">
        <v>0</v>
      </c>
      <c r="DG64" s="409">
        <v>36.037990382695511</v>
      </c>
      <c r="DH64" s="409">
        <v>0</v>
      </c>
      <c r="DI64" s="409">
        <v>0</v>
      </c>
      <c r="DJ64" s="409"/>
      <c r="DK64" s="409">
        <v>0</v>
      </c>
      <c r="DL64" s="409">
        <v>0</v>
      </c>
      <c r="DM64" s="409">
        <v>0</v>
      </c>
      <c r="DN64" s="409">
        <v>0</v>
      </c>
      <c r="DO64" s="409">
        <v>0</v>
      </c>
      <c r="DP64" s="409">
        <v>-2.4094096462564565</v>
      </c>
      <c r="DQ64" s="409">
        <v>0</v>
      </c>
      <c r="DR64" s="409">
        <v>-45.070100309884971</v>
      </c>
      <c r="DS64" s="409"/>
      <c r="DT64" s="409"/>
      <c r="DU64" s="409"/>
      <c r="DV64" s="409">
        <v>9769.1678524749477</v>
      </c>
      <c r="DW64" s="409">
        <v>0</v>
      </c>
      <c r="DX64" s="409">
        <v>0</v>
      </c>
      <c r="DY64" s="409">
        <v>-2082.06675</v>
      </c>
      <c r="DZ64" s="409">
        <v>201.5595000000003</v>
      </c>
      <c r="EA64" s="409">
        <v>0</v>
      </c>
      <c r="EB64" s="409">
        <v>0</v>
      </c>
      <c r="EC64" s="409">
        <v>-2239.3229883022932</v>
      </c>
      <c r="ED64" s="409">
        <v>0</v>
      </c>
      <c r="EE64" s="409">
        <v>0</v>
      </c>
      <c r="EF64" s="409">
        <v>0</v>
      </c>
      <c r="EG64" s="409">
        <v>0</v>
      </c>
      <c r="EH64" s="409">
        <v>0</v>
      </c>
      <c r="EI64" s="409">
        <v>0</v>
      </c>
      <c r="EJ64" s="409">
        <v>0</v>
      </c>
      <c r="EK64" s="409">
        <v>0</v>
      </c>
      <c r="EL64" s="409">
        <v>0</v>
      </c>
      <c r="EM64" s="409">
        <v>0</v>
      </c>
      <c r="EN64" s="409">
        <v>0</v>
      </c>
      <c r="EO64" s="409">
        <v>0</v>
      </c>
      <c r="EP64" s="409">
        <v>0</v>
      </c>
      <c r="EQ64" s="409">
        <v>0</v>
      </c>
      <c r="ER64" s="409">
        <v>0</v>
      </c>
      <c r="ES64" s="409">
        <v>0</v>
      </c>
      <c r="ET64" s="409">
        <v>0</v>
      </c>
      <c r="EU64" s="409">
        <v>0</v>
      </c>
      <c r="EV64" s="409">
        <v>254</v>
      </c>
      <c r="EW64" s="409">
        <v>0</v>
      </c>
      <c r="EX64" s="409">
        <v>0</v>
      </c>
      <c r="EY64" s="409">
        <v>0</v>
      </c>
      <c r="EZ64" s="409"/>
      <c r="FA64" s="409">
        <v>0</v>
      </c>
      <c r="FB64" s="409"/>
      <c r="FC64" s="409"/>
      <c r="FD64" s="409"/>
      <c r="FE64" s="409"/>
      <c r="FF64" s="409">
        <v>0</v>
      </c>
      <c r="FG64" s="409">
        <v>0</v>
      </c>
      <c r="FH64" s="409">
        <v>0</v>
      </c>
      <c r="FI64" s="409">
        <v>0</v>
      </c>
    </row>
    <row r="65" spans="1:165" customFormat="1">
      <c r="A65" s="409">
        <v>63</v>
      </c>
      <c r="B65" s="409" t="s">
        <v>1035</v>
      </c>
      <c r="C65" s="409" t="s">
        <v>2244</v>
      </c>
      <c r="D65" s="409" t="s">
        <v>1991</v>
      </c>
      <c r="E65" s="409" t="s">
        <v>968</v>
      </c>
      <c r="F65" s="409" t="s">
        <v>2250</v>
      </c>
      <c r="G65" s="409" t="s">
        <v>1323</v>
      </c>
      <c r="H65" s="409" t="s">
        <v>1323</v>
      </c>
      <c r="I65" s="409" t="s">
        <v>1323</v>
      </c>
      <c r="J65" s="409" t="s">
        <v>2245</v>
      </c>
      <c r="K65" s="835">
        <v>44378</v>
      </c>
      <c r="L65" s="409">
        <v>0</v>
      </c>
      <c r="M65" s="409">
        <v>0</v>
      </c>
      <c r="N65" s="409">
        <v>5.5570000000000004</v>
      </c>
      <c r="O65" s="409">
        <v>5.5570000000000004</v>
      </c>
      <c r="P65" s="409">
        <v>5.5570000000000004</v>
      </c>
      <c r="Q65" s="409">
        <v>5.5570000000000004</v>
      </c>
      <c r="R65" s="409"/>
      <c r="S65" s="409">
        <v>561.96</v>
      </c>
      <c r="T65" s="409">
        <v>243.39</v>
      </c>
      <c r="U65" s="409"/>
      <c r="V65" s="409">
        <v>4475.3299500000012</v>
      </c>
      <c r="W65" s="409">
        <v>4475.3299500000012</v>
      </c>
      <c r="X65" s="409">
        <v>4036.71594</v>
      </c>
      <c r="Y65" s="409">
        <v>0</v>
      </c>
      <c r="Z65" s="409">
        <v>0</v>
      </c>
      <c r="AA65" s="409">
        <v>0</v>
      </c>
      <c r="AB65" s="409">
        <v>0</v>
      </c>
      <c r="AC65" s="409">
        <v>0</v>
      </c>
      <c r="AD65" s="409">
        <v>651.21963759362529</v>
      </c>
      <c r="AE65" s="409">
        <v>2278.5840821071688</v>
      </c>
      <c r="AF65" s="409">
        <v>1352.5029193605908</v>
      </c>
      <c r="AG65" s="409">
        <v>0</v>
      </c>
      <c r="AH65" s="409">
        <v>0</v>
      </c>
      <c r="AI65" s="409">
        <v>0</v>
      </c>
      <c r="AJ65" s="409">
        <v>0</v>
      </c>
      <c r="AK65" s="409">
        <v>0</v>
      </c>
      <c r="AL65" s="409">
        <v>0</v>
      </c>
      <c r="AM65" s="409"/>
      <c r="AN65" s="409">
        <v>9.5406544818135615</v>
      </c>
      <c r="AO65" s="409">
        <v>0</v>
      </c>
      <c r="AP65" s="409">
        <v>0</v>
      </c>
      <c r="AQ65" s="409">
        <v>0</v>
      </c>
      <c r="AR65" s="409">
        <v>0</v>
      </c>
      <c r="AS65" s="409">
        <v>0</v>
      </c>
      <c r="AT65" s="409">
        <v>0</v>
      </c>
      <c r="AU65" s="409">
        <v>0</v>
      </c>
      <c r="AV65" s="409">
        <v>0</v>
      </c>
      <c r="AW65" s="409">
        <v>0</v>
      </c>
      <c r="AX65" s="409">
        <v>0</v>
      </c>
      <c r="AY65" s="409">
        <v>0</v>
      </c>
      <c r="AZ65" s="409">
        <v>0</v>
      </c>
      <c r="BA65" s="409"/>
      <c r="BB65" s="409">
        <v>0</v>
      </c>
      <c r="BC65" s="409">
        <v>0</v>
      </c>
      <c r="BD65" s="409">
        <v>0</v>
      </c>
      <c r="BE65" s="409">
        <v>0</v>
      </c>
      <c r="BF65" s="409">
        <v>0</v>
      </c>
      <c r="BG65" s="409">
        <v>183.4884131320951</v>
      </c>
      <c r="BH65" s="409">
        <v>0</v>
      </c>
      <c r="BI65" s="409">
        <v>45.33</v>
      </c>
      <c r="BJ65" s="409">
        <v>209.11</v>
      </c>
      <c r="BK65" s="409">
        <v>692.17</v>
      </c>
      <c r="BL65" s="409">
        <v>52</v>
      </c>
      <c r="BM65" s="409"/>
      <c r="BN65" s="409"/>
      <c r="BO65" s="409"/>
      <c r="BP65" s="409"/>
      <c r="BQ65" s="409"/>
      <c r="BR65" s="409"/>
      <c r="BS65" s="409"/>
      <c r="BT65" s="409"/>
      <c r="BU65" s="409"/>
      <c r="BV65" s="409">
        <v>1535.9913324926858</v>
      </c>
      <c r="BW65" s="409"/>
      <c r="BX65" s="409"/>
      <c r="BY65" s="409"/>
      <c r="BZ65" s="409"/>
      <c r="CA65" s="409"/>
      <c r="CB65" s="409"/>
      <c r="CC65" s="409"/>
      <c r="CD65" s="409"/>
      <c r="CE65" s="409"/>
      <c r="CF65" s="409"/>
      <c r="CG65" s="409"/>
      <c r="CH65" s="409"/>
      <c r="CI65" s="409">
        <v>4038.8951999999999</v>
      </c>
      <c r="CJ65" s="409">
        <v>-436.46475000000191</v>
      </c>
      <c r="CK65" s="409"/>
      <c r="CL65" s="409"/>
      <c r="CM65" s="409"/>
      <c r="CN65" s="409"/>
      <c r="CO65" s="409">
        <v>-485.62623000000025</v>
      </c>
      <c r="CP65" s="409">
        <v>47.012220000000049</v>
      </c>
      <c r="CQ65" s="409">
        <v>31</v>
      </c>
      <c r="CR65" s="409">
        <v>83.704012042281647</v>
      </c>
      <c r="CS65" s="409">
        <v>0</v>
      </c>
      <c r="CT65" s="409">
        <v>0</v>
      </c>
      <c r="CU65" s="409">
        <v>0</v>
      </c>
      <c r="CV65" s="409">
        <v>0</v>
      </c>
      <c r="CW65" s="409">
        <v>0</v>
      </c>
      <c r="CX65" s="409">
        <v>0</v>
      </c>
      <c r="CY65" s="409">
        <v>0</v>
      </c>
      <c r="CZ65" s="409">
        <v>24.414626822246191</v>
      </c>
      <c r="DA65" s="409">
        <v>0</v>
      </c>
      <c r="DB65" s="409">
        <v>0</v>
      </c>
      <c r="DC65" s="409">
        <v>61.958032618550988</v>
      </c>
      <c r="DD65" s="409">
        <v>0</v>
      </c>
      <c r="DE65" s="409">
        <v>0</v>
      </c>
      <c r="DF65" s="409">
        <v>0</v>
      </c>
      <c r="DG65" s="409">
        <v>8.4055870957666059</v>
      </c>
      <c r="DH65" s="409">
        <v>0</v>
      </c>
      <c r="DI65" s="409">
        <v>0</v>
      </c>
      <c r="DJ65" s="409"/>
      <c r="DK65" s="409">
        <v>0</v>
      </c>
      <c r="DL65" s="409">
        <v>0</v>
      </c>
      <c r="DM65" s="409">
        <v>0</v>
      </c>
      <c r="DN65" s="409">
        <v>0</v>
      </c>
      <c r="DO65" s="409">
        <v>0</v>
      </c>
      <c r="DP65" s="409">
        <v>-0.56197647027270392</v>
      </c>
      <c r="DQ65" s="409">
        <v>0</v>
      </c>
      <c r="DR65" s="409">
        <v>-10.512258024009689</v>
      </c>
      <c r="DS65" s="409"/>
      <c r="DT65" s="409"/>
      <c r="DU65" s="409"/>
      <c r="DV65" s="409">
        <v>2278.5840821071688</v>
      </c>
      <c r="DW65" s="409">
        <v>0</v>
      </c>
      <c r="DX65" s="409">
        <v>0</v>
      </c>
      <c r="DY65" s="409">
        <v>-485.62623000000031</v>
      </c>
      <c r="DZ65" s="409">
        <v>47.012219999999843</v>
      </c>
      <c r="EA65" s="409">
        <v>0</v>
      </c>
      <c r="EB65" s="409">
        <v>0</v>
      </c>
      <c r="EC65" s="409">
        <v>-522.30505124851425</v>
      </c>
      <c r="ED65" s="409">
        <v>0</v>
      </c>
      <c r="EE65" s="409">
        <v>0</v>
      </c>
      <c r="EF65" s="409">
        <v>0</v>
      </c>
      <c r="EG65" s="409">
        <v>0</v>
      </c>
      <c r="EH65" s="409">
        <v>0</v>
      </c>
      <c r="EI65" s="409">
        <v>0</v>
      </c>
      <c r="EJ65" s="409">
        <v>0</v>
      </c>
      <c r="EK65" s="409">
        <v>0</v>
      </c>
      <c r="EL65" s="409">
        <v>0</v>
      </c>
      <c r="EM65" s="409">
        <v>0</v>
      </c>
      <c r="EN65" s="409">
        <v>0</v>
      </c>
      <c r="EO65" s="409">
        <v>0</v>
      </c>
      <c r="EP65" s="409">
        <v>0</v>
      </c>
      <c r="EQ65" s="409">
        <v>0</v>
      </c>
      <c r="ER65" s="409">
        <v>0</v>
      </c>
      <c r="ES65" s="409">
        <v>0</v>
      </c>
      <c r="ET65" s="409">
        <v>0</v>
      </c>
      <c r="EU65" s="409">
        <v>0</v>
      </c>
      <c r="EV65" s="409">
        <v>254</v>
      </c>
      <c r="EW65" s="409">
        <v>0</v>
      </c>
      <c r="EX65" s="409">
        <v>0</v>
      </c>
      <c r="EY65" s="409">
        <v>0</v>
      </c>
      <c r="EZ65" s="409"/>
      <c r="FA65" s="409">
        <v>0</v>
      </c>
      <c r="FB65" s="409"/>
      <c r="FC65" s="409"/>
      <c r="FD65" s="409"/>
      <c r="FE65" s="409"/>
      <c r="FF65" s="409">
        <v>0</v>
      </c>
      <c r="FG65" s="409">
        <v>0</v>
      </c>
      <c r="FH65" s="409">
        <v>0</v>
      </c>
      <c r="FI65" s="409">
        <v>0</v>
      </c>
    </row>
    <row r="66" spans="1:165" customFormat="1">
      <c r="A66" s="409">
        <v>64</v>
      </c>
      <c r="B66" s="409" t="s">
        <v>1035</v>
      </c>
      <c r="C66" s="409" t="s">
        <v>2244</v>
      </c>
      <c r="D66" s="409" t="s">
        <v>1994</v>
      </c>
      <c r="E66" s="409" t="s">
        <v>969</v>
      </c>
      <c r="F66" s="409" t="s">
        <v>1323</v>
      </c>
      <c r="G66" s="409" t="s">
        <v>1323</v>
      </c>
      <c r="H66" s="409" t="s">
        <v>1323</v>
      </c>
      <c r="I66" s="409" t="s">
        <v>1323</v>
      </c>
      <c r="J66" s="409" t="s">
        <v>2245</v>
      </c>
      <c r="K66" s="835">
        <v>44378</v>
      </c>
      <c r="L66" s="409">
        <v>0</v>
      </c>
      <c r="M66" s="409">
        <v>0</v>
      </c>
      <c r="N66" s="409">
        <v>0.35699999999999998</v>
      </c>
      <c r="O66" s="409">
        <v>0.35699999999999998</v>
      </c>
      <c r="P66" s="409">
        <v>0.35699999999999998</v>
      </c>
      <c r="Q66" s="409">
        <v>0.35699999999999998</v>
      </c>
      <c r="R66" s="409"/>
      <c r="S66" s="409">
        <v>597.01</v>
      </c>
      <c r="T66" s="409">
        <v>243.39</v>
      </c>
      <c r="U66" s="409"/>
      <c r="V66" s="409">
        <v>300.02279999999996</v>
      </c>
      <c r="W66" s="409">
        <v>300.02279999999996</v>
      </c>
      <c r="X66" s="409">
        <v>271.77696000000003</v>
      </c>
      <c r="Y66" s="409">
        <v>0</v>
      </c>
      <c r="Z66" s="409">
        <v>8.8834014550755427</v>
      </c>
      <c r="AA66" s="409">
        <v>0</v>
      </c>
      <c r="AB66" s="409">
        <v>0</v>
      </c>
      <c r="AC66" s="409">
        <v>0</v>
      </c>
      <c r="AD66" s="409">
        <v>41.836496422696456</v>
      </c>
      <c r="AE66" s="409">
        <v>146.38375334033816</v>
      </c>
      <c r="AF66" s="409">
        <v>86.889246394049096</v>
      </c>
      <c r="AG66" s="409">
        <v>0</v>
      </c>
      <c r="AH66" s="409">
        <v>0</v>
      </c>
      <c r="AI66" s="409">
        <v>0</v>
      </c>
      <c r="AJ66" s="409">
        <v>0</v>
      </c>
      <c r="AK66" s="409">
        <v>0</v>
      </c>
      <c r="AL66" s="409">
        <v>3.6267954246724408</v>
      </c>
      <c r="AM66" s="409"/>
      <c r="AN66" s="409">
        <v>0.61292309699612035</v>
      </c>
      <c r="AO66" s="409">
        <v>0</v>
      </c>
      <c r="AP66" s="409">
        <v>0</v>
      </c>
      <c r="AQ66" s="409">
        <v>0</v>
      </c>
      <c r="AR66" s="409">
        <v>0</v>
      </c>
      <c r="AS66" s="409">
        <v>0</v>
      </c>
      <c r="AT66" s="409">
        <v>0</v>
      </c>
      <c r="AU66" s="409">
        <v>0</v>
      </c>
      <c r="AV66" s="409">
        <v>0</v>
      </c>
      <c r="AW66" s="409">
        <v>0</v>
      </c>
      <c r="AX66" s="409">
        <v>0</v>
      </c>
      <c r="AY66" s="409">
        <v>0</v>
      </c>
      <c r="AZ66" s="409">
        <v>0</v>
      </c>
      <c r="BA66" s="409"/>
      <c r="BB66" s="409">
        <v>0</v>
      </c>
      <c r="BC66" s="409">
        <v>0</v>
      </c>
      <c r="BD66" s="409">
        <v>0</v>
      </c>
      <c r="BE66" s="409">
        <v>0</v>
      </c>
      <c r="BF66" s="409">
        <v>0</v>
      </c>
      <c r="BG66" s="409">
        <v>11.787900573719263</v>
      </c>
      <c r="BH66" s="409">
        <v>0</v>
      </c>
      <c r="BI66" s="409">
        <v>0</v>
      </c>
      <c r="BJ66" s="409">
        <v>0</v>
      </c>
      <c r="BK66" s="409">
        <v>0</v>
      </c>
      <c r="BL66" s="409">
        <v>3</v>
      </c>
      <c r="BM66" s="409"/>
      <c r="BN66" s="409"/>
      <c r="BO66" s="409"/>
      <c r="BP66" s="409"/>
      <c r="BQ66" s="409"/>
      <c r="BR66" s="409"/>
      <c r="BS66" s="409"/>
      <c r="BT66" s="409"/>
      <c r="BU66" s="409"/>
      <c r="BV66" s="409">
        <v>98.677146967768351</v>
      </c>
      <c r="BW66" s="409"/>
      <c r="BX66" s="409"/>
      <c r="BY66" s="409"/>
      <c r="BZ66" s="409"/>
      <c r="CA66" s="409"/>
      <c r="CB66" s="409"/>
      <c r="CC66" s="409"/>
      <c r="CD66" s="409"/>
      <c r="CE66" s="409"/>
      <c r="CF66" s="409"/>
      <c r="CG66" s="409"/>
      <c r="CH66" s="409"/>
      <c r="CI66" s="409">
        <v>274.06079999999997</v>
      </c>
      <c r="CJ66" s="409">
        <v>-25.991999999999962</v>
      </c>
      <c r="CK66" s="409"/>
      <c r="CL66" s="409"/>
      <c r="CM66" s="409"/>
      <c r="CN66" s="409"/>
      <c r="CO66" s="409">
        <v>-31.266059999999992</v>
      </c>
      <c r="CP66" s="409">
        <v>3.0202200000000028</v>
      </c>
      <c r="CQ66" s="409">
        <v>31</v>
      </c>
      <c r="CR66" s="409">
        <v>5.3099548148743168</v>
      </c>
      <c r="CS66" s="409">
        <v>0</v>
      </c>
      <c r="CT66" s="409">
        <v>0</v>
      </c>
      <c r="CU66" s="409">
        <v>0</v>
      </c>
      <c r="CV66" s="409">
        <v>0</v>
      </c>
      <c r="CW66" s="409">
        <v>0</v>
      </c>
      <c r="CX66" s="409">
        <v>0</v>
      </c>
      <c r="CY66" s="409">
        <v>0</v>
      </c>
      <c r="CZ66" s="409">
        <v>1.5684761158074352</v>
      </c>
      <c r="DA66" s="409">
        <v>0</v>
      </c>
      <c r="DB66" s="409">
        <v>0</v>
      </c>
      <c r="DC66" s="409">
        <v>3.9803882751165531</v>
      </c>
      <c r="DD66" s="409">
        <v>0</v>
      </c>
      <c r="DE66" s="409">
        <v>0</v>
      </c>
      <c r="DF66" s="409">
        <v>0</v>
      </c>
      <c r="DG66" s="409">
        <v>0.54000262609117833</v>
      </c>
      <c r="DH66" s="409">
        <v>0</v>
      </c>
      <c r="DI66" s="409">
        <v>-6.4785587216949381E-2</v>
      </c>
      <c r="DJ66" s="409"/>
      <c r="DK66" s="409">
        <v>0</v>
      </c>
      <c r="DL66" s="409">
        <v>0</v>
      </c>
      <c r="DM66" s="409">
        <v>0</v>
      </c>
      <c r="DN66" s="409">
        <v>0</v>
      </c>
      <c r="DO66" s="409">
        <v>-2.0342522238284477E-2</v>
      </c>
      <c r="DP66" s="409">
        <v>-3.610322114222686E-2</v>
      </c>
      <c r="DQ66" s="409">
        <v>0</v>
      </c>
      <c r="DR66" s="409">
        <v>-0.65768087154333832</v>
      </c>
      <c r="DS66" s="409"/>
      <c r="DT66" s="409"/>
      <c r="DU66" s="409"/>
      <c r="DV66" s="409">
        <v>146.38375334033816</v>
      </c>
      <c r="DW66" s="409">
        <v>0</v>
      </c>
      <c r="DX66" s="409">
        <v>0</v>
      </c>
      <c r="DY66" s="409">
        <v>-31.266059999999982</v>
      </c>
      <c r="DZ66" s="409">
        <v>3.020220000000009</v>
      </c>
      <c r="EA66" s="409">
        <v>0</v>
      </c>
      <c r="EB66" s="409">
        <v>0</v>
      </c>
      <c r="EC66" s="409">
        <v>-33.554598397646132</v>
      </c>
      <c r="ED66" s="409">
        <v>0</v>
      </c>
      <c r="EE66" s="409">
        <v>0</v>
      </c>
      <c r="EF66" s="409">
        <v>0</v>
      </c>
      <c r="EG66" s="409">
        <v>0</v>
      </c>
      <c r="EH66" s="409">
        <v>0</v>
      </c>
      <c r="EI66" s="409">
        <v>0</v>
      </c>
      <c r="EJ66" s="409">
        <v>0</v>
      </c>
      <c r="EK66" s="409">
        <v>0</v>
      </c>
      <c r="EL66" s="409">
        <v>0</v>
      </c>
      <c r="EM66" s="409">
        <v>0</v>
      </c>
      <c r="EN66" s="409">
        <v>0</v>
      </c>
      <c r="EO66" s="409">
        <v>0</v>
      </c>
      <c r="EP66" s="409">
        <v>0</v>
      </c>
      <c r="EQ66" s="409">
        <v>0</v>
      </c>
      <c r="ER66" s="409">
        <v>0</v>
      </c>
      <c r="ES66" s="409">
        <v>0</v>
      </c>
      <c r="ET66" s="409">
        <v>0</v>
      </c>
      <c r="EU66" s="409">
        <v>0</v>
      </c>
      <c r="EV66" s="409">
        <v>254</v>
      </c>
      <c r="EW66" s="409">
        <v>0</v>
      </c>
      <c r="EX66" s="409">
        <v>0</v>
      </c>
      <c r="EY66" s="409">
        <v>0</v>
      </c>
      <c r="EZ66" s="409"/>
      <c r="FA66" s="409">
        <v>0</v>
      </c>
      <c r="FB66" s="409"/>
      <c r="FC66" s="409"/>
      <c r="FD66" s="409"/>
      <c r="FE66" s="409"/>
      <c r="FF66" s="409">
        <v>0</v>
      </c>
      <c r="FG66" s="409">
        <v>0</v>
      </c>
      <c r="FH66" s="409">
        <v>0</v>
      </c>
      <c r="FI66" s="409">
        <v>0</v>
      </c>
    </row>
    <row r="67" spans="1:165" customFormat="1">
      <c r="A67" s="409">
        <v>65</v>
      </c>
      <c r="B67" s="409" t="s">
        <v>1035</v>
      </c>
      <c r="C67" s="409" t="s">
        <v>2251</v>
      </c>
      <c r="D67" s="409" t="s">
        <v>596</v>
      </c>
      <c r="E67" s="409" t="s">
        <v>969</v>
      </c>
      <c r="F67" s="409" t="s">
        <v>1323</v>
      </c>
      <c r="G67" s="409" t="s">
        <v>1323</v>
      </c>
      <c r="H67" s="409" t="s">
        <v>1323</v>
      </c>
      <c r="I67" s="409" t="s">
        <v>972</v>
      </c>
      <c r="J67" s="409" t="s">
        <v>2245</v>
      </c>
      <c r="K67" s="835">
        <v>44378</v>
      </c>
      <c r="L67" s="409">
        <v>0</v>
      </c>
      <c r="M67" s="409">
        <v>0</v>
      </c>
      <c r="N67" s="409">
        <v>0.23699999999999999</v>
      </c>
      <c r="O67" s="409">
        <v>0.23699999999999999</v>
      </c>
      <c r="P67" s="409">
        <v>0.23699999999999999</v>
      </c>
      <c r="Q67" s="409">
        <v>0.23699999999999999</v>
      </c>
      <c r="R67" s="409"/>
      <c r="S67" s="409">
        <v>2773.91</v>
      </c>
      <c r="T67" s="409">
        <v>243.39</v>
      </c>
      <c r="U67" s="409"/>
      <c r="V67" s="409">
        <v>715.1001</v>
      </c>
      <c r="W67" s="409">
        <v>715.1001</v>
      </c>
      <c r="X67" s="409">
        <v>615.57668999999999</v>
      </c>
      <c r="Y67" s="409">
        <v>0</v>
      </c>
      <c r="Z67" s="409">
        <v>5.1307242185490898</v>
      </c>
      <c r="AA67" s="409">
        <v>0</v>
      </c>
      <c r="AB67" s="409">
        <v>0</v>
      </c>
      <c r="AC67" s="409">
        <v>0</v>
      </c>
      <c r="AD67" s="409">
        <v>170.76028206610457</v>
      </c>
      <c r="AE67" s="409">
        <v>475.36171900195296</v>
      </c>
      <c r="AF67" s="409">
        <v>57.68277701789814</v>
      </c>
      <c r="AG67" s="409">
        <v>0</v>
      </c>
      <c r="AH67" s="409">
        <v>0</v>
      </c>
      <c r="AI67" s="409">
        <v>0</v>
      </c>
      <c r="AJ67" s="409">
        <v>0</v>
      </c>
      <c r="AK67" s="409">
        <v>0</v>
      </c>
      <c r="AL67" s="409">
        <v>2.4077045256228806</v>
      </c>
      <c r="AM67" s="409"/>
      <c r="AN67" s="409">
        <v>0.16440180954698277</v>
      </c>
      <c r="AO67" s="409">
        <v>0</v>
      </c>
      <c r="AP67" s="409">
        <v>0</v>
      </c>
      <c r="AQ67" s="409">
        <v>0</v>
      </c>
      <c r="AR67" s="409">
        <v>0</v>
      </c>
      <c r="AS67" s="409">
        <v>0</v>
      </c>
      <c r="AT67" s="409">
        <v>0</v>
      </c>
      <c r="AU67" s="409">
        <v>0</v>
      </c>
      <c r="AV67" s="409">
        <v>0</v>
      </c>
      <c r="AW67" s="409">
        <v>0</v>
      </c>
      <c r="AX67" s="409">
        <v>0</v>
      </c>
      <c r="AY67" s="409">
        <v>0</v>
      </c>
      <c r="AZ67" s="409">
        <v>0</v>
      </c>
      <c r="BA67" s="409"/>
      <c r="BB67" s="409">
        <v>0</v>
      </c>
      <c r="BC67" s="409">
        <v>0</v>
      </c>
      <c r="BD67" s="409">
        <v>0</v>
      </c>
      <c r="BE67" s="409">
        <v>0</v>
      </c>
      <c r="BF67" s="409">
        <v>0</v>
      </c>
      <c r="BG67" s="409">
        <v>3.5927135566791844</v>
      </c>
      <c r="BH67" s="409">
        <v>0</v>
      </c>
      <c r="BI67" s="409">
        <v>0</v>
      </c>
      <c r="BJ67" s="409">
        <v>0</v>
      </c>
      <c r="BK67" s="409">
        <v>0</v>
      </c>
      <c r="BL67" s="409">
        <v>0</v>
      </c>
      <c r="BM67" s="409"/>
      <c r="BN67" s="409"/>
      <c r="BO67" s="409"/>
      <c r="BP67" s="409"/>
      <c r="BQ67" s="409"/>
      <c r="BR67" s="409"/>
      <c r="BS67" s="409"/>
      <c r="BT67" s="409"/>
      <c r="BU67" s="409"/>
      <c r="BV67" s="409">
        <v>61.275490574577326</v>
      </c>
      <c r="BW67" s="409"/>
      <c r="BX67" s="409"/>
      <c r="BY67" s="409"/>
      <c r="BZ67" s="409"/>
      <c r="CA67" s="409"/>
      <c r="CB67" s="409"/>
      <c r="CC67" s="409"/>
      <c r="CD67" s="409"/>
      <c r="CE67" s="409"/>
      <c r="CF67" s="409"/>
      <c r="CG67" s="409"/>
      <c r="CH67" s="409"/>
      <c r="CI67" s="409">
        <v>623.36879999999996</v>
      </c>
      <c r="CJ67" s="409">
        <v>-91.761300000000006</v>
      </c>
      <c r="CK67" s="409"/>
      <c r="CL67" s="409"/>
      <c r="CM67" s="409"/>
      <c r="CN67" s="409"/>
      <c r="CO67" s="409">
        <v>-101.52842999999997</v>
      </c>
      <c r="CP67" s="409">
        <v>2.0050200000000018</v>
      </c>
      <c r="CQ67" s="409">
        <v>31</v>
      </c>
      <c r="CR67" s="409">
        <v>9.4400738532896469</v>
      </c>
      <c r="CS67" s="409">
        <v>0</v>
      </c>
      <c r="CT67" s="409">
        <v>0</v>
      </c>
      <c r="CU67" s="409">
        <v>0</v>
      </c>
      <c r="CV67" s="409">
        <v>0</v>
      </c>
      <c r="CW67" s="409">
        <v>0</v>
      </c>
      <c r="CX67" s="409">
        <v>0</v>
      </c>
      <c r="CY67" s="409">
        <v>0</v>
      </c>
      <c r="CZ67" s="409">
        <v>6.4019085451883768</v>
      </c>
      <c r="DA67" s="409">
        <v>0</v>
      </c>
      <c r="DB67" s="409">
        <v>0</v>
      </c>
      <c r="DC67" s="409">
        <v>2.6424426364219187</v>
      </c>
      <c r="DD67" s="409">
        <v>0</v>
      </c>
      <c r="DE67" s="409">
        <v>0</v>
      </c>
      <c r="DF67" s="409">
        <v>0</v>
      </c>
      <c r="DG67" s="409">
        <v>0.16458187302035299</v>
      </c>
      <c r="DH67" s="409">
        <v>0</v>
      </c>
      <c r="DI67" s="409">
        <v>-3.7417759743030743E-2</v>
      </c>
      <c r="DJ67" s="409"/>
      <c r="DK67" s="409">
        <v>0</v>
      </c>
      <c r="DL67" s="409">
        <v>0</v>
      </c>
      <c r="DM67" s="409">
        <v>0</v>
      </c>
      <c r="DN67" s="409">
        <v>0</v>
      </c>
      <c r="DO67" s="409">
        <v>-1.3504699637180373E-2</v>
      </c>
      <c r="DP67" s="409">
        <v>-9.6838166408577397E-3</v>
      </c>
      <c r="DQ67" s="409">
        <v>0</v>
      </c>
      <c r="DR67" s="409">
        <v>0.29174707468005801</v>
      </c>
      <c r="DS67" s="409"/>
      <c r="DT67" s="409"/>
      <c r="DU67" s="409"/>
      <c r="DV67" s="409">
        <v>475.36171900195296</v>
      </c>
      <c r="DW67" s="409">
        <v>0</v>
      </c>
      <c r="DX67" s="409">
        <v>0</v>
      </c>
      <c r="DY67" s="409">
        <v>-101.52842999999996</v>
      </c>
      <c r="DZ67" s="409">
        <v>2.0050200000000018</v>
      </c>
      <c r="EA67" s="409">
        <v>0</v>
      </c>
      <c r="EB67" s="409">
        <v>0</v>
      </c>
      <c r="EC67" s="409">
        <v>-108.96408386004708</v>
      </c>
      <c r="ED67" s="409">
        <v>0</v>
      </c>
      <c r="EE67" s="409">
        <v>0</v>
      </c>
      <c r="EF67" s="409">
        <v>0</v>
      </c>
      <c r="EG67" s="409">
        <v>0</v>
      </c>
      <c r="EH67" s="409">
        <v>0</v>
      </c>
      <c r="EI67" s="409">
        <v>0</v>
      </c>
      <c r="EJ67" s="409">
        <v>0</v>
      </c>
      <c r="EK67" s="409">
        <v>0</v>
      </c>
      <c r="EL67" s="409">
        <v>0</v>
      </c>
      <c r="EM67" s="409">
        <v>0</v>
      </c>
      <c r="EN67" s="409">
        <v>0</v>
      </c>
      <c r="EO67" s="409">
        <v>0</v>
      </c>
      <c r="EP67" s="409">
        <v>0</v>
      </c>
      <c r="EQ67" s="409">
        <v>0</v>
      </c>
      <c r="ER67" s="409">
        <v>0</v>
      </c>
      <c r="ES67" s="409">
        <v>0</v>
      </c>
      <c r="ET67" s="409">
        <v>0</v>
      </c>
      <c r="EU67" s="409">
        <v>0</v>
      </c>
      <c r="EV67" s="409">
        <v>254</v>
      </c>
      <c r="EW67" s="409">
        <v>0</v>
      </c>
      <c r="EX67" s="409">
        <v>0</v>
      </c>
      <c r="EY67" s="409">
        <v>0</v>
      </c>
      <c r="EZ67" s="409"/>
      <c r="FA67" s="409">
        <v>0</v>
      </c>
      <c r="FB67" s="409"/>
      <c r="FC67" s="409"/>
      <c r="FD67" s="409"/>
      <c r="FE67" s="409"/>
      <c r="FF67" s="409">
        <v>0</v>
      </c>
      <c r="FG67" s="409">
        <v>0</v>
      </c>
      <c r="FH67" s="409">
        <v>0</v>
      </c>
      <c r="FI67" s="409">
        <v>0</v>
      </c>
    </row>
    <row r="68" spans="1:165" customFormat="1">
      <c r="A68" s="409">
        <v>66</v>
      </c>
      <c r="B68" s="409" t="s">
        <v>1035</v>
      </c>
      <c r="C68" s="409" t="s">
        <v>2251</v>
      </c>
      <c r="D68" s="409" t="s">
        <v>596</v>
      </c>
      <c r="E68" s="409" t="s">
        <v>969</v>
      </c>
      <c r="F68" s="409" t="s">
        <v>1323</v>
      </c>
      <c r="G68" s="409" t="s">
        <v>1323</v>
      </c>
      <c r="H68" s="409" t="s">
        <v>1323</v>
      </c>
      <c r="I68" s="409" t="s">
        <v>2237</v>
      </c>
      <c r="J68" s="409" t="s">
        <v>2245</v>
      </c>
      <c r="K68" s="835">
        <v>44378</v>
      </c>
      <c r="L68" s="409">
        <v>0</v>
      </c>
      <c r="M68" s="409">
        <v>0</v>
      </c>
      <c r="N68" s="409">
        <v>22.064</v>
      </c>
      <c r="O68" s="409">
        <v>22.064</v>
      </c>
      <c r="P68" s="409">
        <v>22.064</v>
      </c>
      <c r="Q68" s="409">
        <v>22.064</v>
      </c>
      <c r="R68" s="409"/>
      <c r="S68" s="409">
        <v>47.66</v>
      </c>
      <c r="T68" s="409">
        <v>243.39</v>
      </c>
      <c r="U68" s="409"/>
      <c r="V68" s="409">
        <v>6421.7271999999994</v>
      </c>
      <c r="W68" s="409">
        <v>6421.7271999999994</v>
      </c>
      <c r="X68" s="409">
        <v>6619.6412799999998</v>
      </c>
      <c r="Y68" s="409">
        <v>0</v>
      </c>
      <c r="Z68" s="409">
        <v>477.65527070914402</v>
      </c>
      <c r="AA68" s="409">
        <v>0</v>
      </c>
      <c r="AB68" s="409">
        <v>0</v>
      </c>
      <c r="AC68" s="409">
        <v>0</v>
      </c>
      <c r="AD68" s="409">
        <v>0</v>
      </c>
      <c r="AE68" s="409">
        <v>0</v>
      </c>
      <c r="AF68" s="409">
        <v>5370.0961692949568</v>
      </c>
      <c r="AG68" s="409">
        <v>0</v>
      </c>
      <c r="AH68" s="409">
        <v>0</v>
      </c>
      <c r="AI68" s="409">
        <v>0</v>
      </c>
      <c r="AJ68" s="409">
        <v>0</v>
      </c>
      <c r="AK68" s="409">
        <v>0</v>
      </c>
      <c r="AL68" s="409">
        <v>224.15017997191242</v>
      </c>
      <c r="AM68" s="409"/>
      <c r="AN68" s="409">
        <v>15.30532289385919</v>
      </c>
      <c r="AO68" s="409">
        <v>0</v>
      </c>
      <c r="AP68" s="409">
        <v>0</v>
      </c>
      <c r="AQ68" s="409">
        <v>0</v>
      </c>
      <c r="AR68" s="409">
        <v>0</v>
      </c>
      <c r="AS68" s="409">
        <v>0</v>
      </c>
      <c r="AT68" s="409">
        <v>0</v>
      </c>
      <c r="AU68" s="409">
        <v>0</v>
      </c>
      <c r="AV68" s="409">
        <v>0</v>
      </c>
      <c r="AW68" s="409">
        <v>0</v>
      </c>
      <c r="AX68" s="409">
        <v>0</v>
      </c>
      <c r="AY68" s="409">
        <v>0</v>
      </c>
      <c r="AZ68" s="409">
        <v>0</v>
      </c>
      <c r="BA68" s="409"/>
      <c r="BB68" s="409">
        <v>0</v>
      </c>
      <c r="BC68" s="409">
        <v>0</v>
      </c>
      <c r="BD68" s="409">
        <v>0</v>
      </c>
      <c r="BE68" s="409">
        <v>0</v>
      </c>
      <c r="BF68" s="409">
        <v>0</v>
      </c>
      <c r="BG68" s="409">
        <v>334.47102073658033</v>
      </c>
      <c r="BH68" s="409">
        <v>0</v>
      </c>
      <c r="BI68" s="409">
        <v>0</v>
      </c>
      <c r="BJ68" s="409">
        <v>0</v>
      </c>
      <c r="BK68" s="409">
        <v>0</v>
      </c>
      <c r="BL68" s="409">
        <v>0</v>
      </c>
      <c r="BM68" s="409"/>
      <c r="BN68" s="409"/>
      <c r="BO68" s="409"/>
      <c r="BP68" s="409"/>
      <c r="BQ68" s="409"/>
      <c r="BR68" s="409"/>
      <c r="BS68" s="409"/>
      <c r="BT68" s="409"/>
      <c r="BU68" s="409"/>
      <c r="BV68" s="409">
        <v>5704.5671900315374</v>
      </c>
      <c r="BW68" s="409"/>
      <c r="BX68" s="409"/>
      <c r="BY68" s="409"/>
      <c r="BZ68" s="409"/>
      <c r="CA68" s="409"/>
      <c r="CB68" s="409"/>
      <c r="CC68" s="409"/>
      <c r="CD68" s="409"/>
      <c r="CE68" s="409"/>
      <c r="CF68" s="409"/>
      <c r="CG68" s="409"/>
      <c r="CH68" s="409"/>
      <c r="CI68" s="409">
        <v>6618.4411999999993</v>
      </c>
      <c r="CJ68" s="409">
        <v>196.68399999999929</v>
      </c>
      <c r="CK68" s="409"/>
      <c r="CL68" s="409"/>
      <c r="CM68" s="409"/>
      <c r="CN68" s="409"/>
      <c r="CO68" s="409">
        <v>11.252640000000113</v>
      </c>
      <c r="CP68" s="409">
        <v>186.66144000000017</v>
      </c>
      <c r="CQ68" s="409">
        <v>31</v>
      </c>
      <c r="CR68" s="409">
        <v>197.92470598192358</v>
      </c>
      <c r="CS68" s="409">
        <v>0</v>
      </c>
      <c r="CT68" s="409">
        <v>0</v>
      </c>
      <c r="CU68" s="409">
        <v>0</v>
      </c>
      <c r="CV68" s="409">
        <v>0</v>
      </c>
      <c r="CW68" s="409">
        <v>0</v>
      </c>
      <c r="CX68" s="409">
        <v>0</v>
      </c>
      <c r="CY68" s="409">
        <v>0</v>
      </c>
      <c r="CZ68" s="409">
        <v>0</v>
      </c>
      <c r="DA68" s="409">
        <v>0</v>
      </c>
      <c r="DB68" s="409">
        <v>0</v>
      </c>
      <c r="DC68" s="409">
        <v>246.00360476798778</v>
      </c>
      <c r="DD68" s="409">
        <v>0</v>
      </c>
      <c r="DE68" s="409">
        <v>0</v>
      </c>
      <c r="DF68" s="409">
        <v>0</v>
      </c>
      <c r="DG68" s="409">
        <v>15.32208627139687</v>
      </c>
      <c r="DH68" s="409">
        <v>0</v>
      </c>
      <c r="DI68" s="409">
        <v>-3.4834829154862632</v>
      </c>
      <c r="DJ68" s="409"/>
      <c r="DK68" s="409">
        <v>0</v>
      </c>
      <c r="DL68" s="409">
        <v>0</v>
      </c>
      <c r="DM68" s="409">
        <v>0</v>
      </c>
      <c r="DN68" s="409">
        <v>0</v>
      </c>
      <c r="DO68" s="409">
        <v>-1.2572476489229985</v>
      </c>
      <c r="DP68" s="409">
        <v>-0.90153472727377704</v>
      </c>
      <c r="DQ68" s="409">
        <v>0</v>
      </c>
      <c r="DR68" s="409">
        <v>-57.758719765778473</v>
      </c>
      <c r="DS68" s="409"/>
      <c r="DT68" s="409"/>
      <c r="DU68" s="409"/>
      <c r="DV68" s="409">
        <v>0</v>
      </c>
      <c r="DW68" s="409">
        <v>0</v>
      </c>
      <c r="DX68" s="409">
        <v>0</v>
      </c>
      <c r="DY68" s="409">
        <v>11.252639999999928</v>
      </c>
      <c r="DZ68" s="409">
        <v>186.66144000000077</v>
      </c>
      <c r="EA68" s="409">
        <v>0</v>
      </c>
      <c r="EB68" s="409">
        <v>0</v>
      </c>
      <c r="EC68" s="409">
        <v>0</v>
      </c>
      <c r="ED68" s="409">
        <v>0</v>
      </c>
      <c r="EE68" s="409">
        <v>0</v>
      </c>
      <c r="EF68" s="409">
        <v>0</v>
      </c>
      <c r="EG68" s="409">
        <v>0</v>
      </c>
      <c r="EH68" s="409">
        <v>0</v>
      </c>
      <c r="EI68" s="409">
        <v>0</v>
      </c>
      <c r="EJ68" s="409">
        <v>0</v>
      </c>
      <c r="EK68" s="409">
        <v>0</v>
      </c>
      <c r="EL68" s="409">
        <v>0</v>
      </c>
      <c r="EM68" s="409">
        <v>0</v>
      </c>
      <c r="EN68" s="409">
        <v>0</v>
      </c>
      <c r="EO68" s="409">
        <v>0</v>
      </c>
      <c r="EP68" s="409">
        <v>0</v>
      </c>
      <c r="EQ68" s="409">
        <v>0</v>
      </c>
      <c r="ER68" s="409">
        <v>0</v>
      </c>
      <c r="ES68" s="409">
        <v>0</v>
      </c>
      <c r="ET68" s="409">
        <v>0</v>
      </c>
      <c r="EU68" s="409">
        <v>0</v>
      </c>
      <c r="EV68" s="409">
        <v>254</v>
      </c>
      <c r="EW68" s="409">
        <v>0</v>
      </c>
      <c r="EX68" s="409">
        <v>0</v>
      </c>
      <c r="EY68" s="409">
        <v>0</v>
      </c>
      <c r="EZ68" s="409"/>
      <c r="FA68" s="409">
        <v>0</v>
      </c>
      <c r="FB68" s="409"/>
      <c r="FC68" s="409"/>
      <c r="FD68" s="409"/>
      <c r="FE68" s="409"/>
      <c r="FF68" s="409">
        <v>0</v>
      </c>
      <c r="FG68" s="409">
        <v>0</v>
      </c>
      <c r="FH68" s="409">
        <v>0</v>
      </c>
      <c r="FI68" s="409">
        <v>0</v>
      </c>
    </row>
    <row r="69" spans="1:165" customFormat="1">
      <c r="A69" s="409">
        <v>67</v>
      </c>
      <c r="B69" s="409" t="s">
        <v>1035</v>
      </c>
      <c r="C69" s="409" t="s">
        <v>2251</v>
      </c>
      <c r="D69" s="409" t="s">
        <v>596</v>
      </c>
      <c r="E69" s="409" t="s">
        <v>969</v>
      </c>
      <c r="F69" s="409" t="s">
        <v>1323</v>
      </c>
      <c r="G69" s="409" t="s">
        <v>1323</v>
      </c>
      <c r="H69" s="409" t="s">
        <v>1323</v>
      </c>
      <c r="I69" s="409" t="s">
        <v>1323</v>
      </c>
      <c r="J69" s="409" t="s">
        <v>2245</v>
      </c>
      <c r="K69" s="835">
        <v>44378</v>
      </c>
      <c r="L69" s="409">
        <v>120</v>
      </c>
      <c r="M69" s="409">
        <v>120</v>
      </c>
      <c r="N69" s="409">
        <v>0</v>
      </c>
      <c r="O69" s="409">
        <v>0</v>
      </c>
      <c r="P69" s="409">
        <v>0</v>
      </c>
      <c r="Q69" s="409">
        <v>0</v>
      </c>
      <c r="R69" s="409">
        <v>50.27</v>
      </c>
      <c r="S69" s="409"/>
      <c r="T69" s="409"/>
      <c r="U69" s="409">
        <v>6032.4000000000005</v>
      </c>
      <c r="V69" s="409"/>
      <c r="W69" s="409">
        <v>6032.4000000000005</v>
      </c>
      <c r="X69" s="409">
        <v>5424</v>
      </c>
      <c r="Y69" s="409">
        <v>0</v>
      </c>
      <c r="Z69" s="409">
        <v>0</v>
      </c>
      <c r="AA69" s="409">
        <v>0</v>
      </c>
      <c r="AB69" s="409">
        <v>0</v>
      </c>
      <c r="AC69" s="409">
        <v>0</v>
      </c>
      <c r="AD69" s="409">
        <v>2875.1919811512239</v>
      </c>
      <c r="AE69" s="409">
        <v>3156.6615245067596</v>
      </c>
      <c r="AF69" s="409"/>
      <c r="AG69" s="409"/>
      <c r="AH69" s="409"/>
      <c r="AI69" s="409">
        <v>0</v>
      </c>
      <c r="AJ69" s="409">
        <v>0</v>
      </c>
      <c r="AK69" s="409">
        <v>0</v>
      </c>
      <c r="AL69" s="409">
        <v>0</v>
      </c>
      <c r="AM69" s="409"/>
      <c r="AN69" s="409">
        <v>0</v>
      </c>
      <c r="AO69" s="409">
        <v>0</v>
      </c>
      <c r="AP69" s="409">
        <v>0</v>
      </c>
      <c r="AQ69" s="409">
        <v>0</v>
      </c>
      <c r="AR69" s="409">
        <v>0</v>
      </c>
      <c r="AS69" s="409"/>
      <c r="AT69" s="409"/>
      <c r="AU69" s="409">
        <v>0</v>
      </c>
      <c r="AV69" s="409">
        <v>0</v>
      </c>
      <c r="AW69" s="409">
        <v>0</v>
      </c>
      <c r="AX69" s="409"/>
      <c r="AY69" s="409"/>
      <c r="AZ69" s="409">
        <v>0</v>
      </c>
      <c r="BA69" s="409"/>
      <c r="BB69" s="409">
        <v>0</v>
      </c>
      <c r="BC69" s="409">
        <v>0</v>
      </c>
      <c r="BD69" s="409">
        <v>0</v>
      </c>
      <c r="BE69" s="409">
        <v>0</v>
      </c>
      <c r="BF69" s="409"/>
      <c r="BG69" s="409">
        <v>0</v>
      </c>
      <c r="BH69" s="409">
        <v>0</v>
      </c>
      <c r="BI69" s="409">
        <v>0</v>
      </c>
      <c r="BJ69" s="409">
        <v>0</v>
      </c>
      <c r="BK69" s="409">
        <v>0</v>
      </c>
      <c r="BL69" s="409">
        <v>1</v>
      </c>
      <c r="BM69" s="409"/>
      <c r="BN69" s="409"/>
      <c r="BO69" s="409"/>
      <c r="BP69" s="409"/>
      <c r="BQ69" s="409"/>
      <c r="BR69" s="409"/>
      <c r="BS69" s="409"/>
      <c r="BT69" s="409"/>
      <c r="BU69" s="409"/>
      <c r="BV69" s="409">
        <v>0</v>
      </c>
      <c r="BW69" s="409"/>
      <c r="BX69" s="409"/>
      <c r="BY69" s="409"/>
      <c r="BZ69" s="409"/>
      <c r="CA69" s="409"/>
      <c r="CB69" s="409"/>
      <c r="CC69" s="409"/>
      <c r="CD69" s="409"/>
      <c r="CE69" s="409"/>
      <c r="CF69" s="409"/>
      <c r="CG69" s="409"/>
      <c r="CH69" s="409"/>
      <c r="CI69" s="409">
        <v>5424</v>
      </c>
      <c r="CJ69" s="409">
        <v>-608.4300000000012</v>
      </c>
      <c r="CK69" s="409"/>
      <c r="CL69" s="409"/>
      <c r="CM69" s="409"/>
      <c r="CN69" s="409"/>
      <c r="CO69" s="409">
        <v>-608.40000000000009</v>
      </c>
      <c r="CP69" s="409">
        <v>0</v>
      </c>
      <c r="CQ69" s="409">
        <v>31</v>
      </c>
      <c r="CR69" s="409">
        <v>116.30817949722041</v>
      </c>
      <c r="CS69" s="409">
        <v>0</v>
      </c>
      <c r="CT69" s="409">
        <v>0</v>
      </c>
      <c r="CU69" s="409">
        <v>0</v>
      </c>
      <c r="CV69" s="409">
        <v>0</v>
      </c>
      <c r="CW69" s="409"/>
      <c r="CX69" s="409"/>
      <c r="CY69" s="409"/>
      <c r="CZ69" s="409">
        <v>107.79272492689233</v>
      </c>
      <c r="DA69" s="409">
        <v>0</v>
      </c>
      <c r="DB69" s="409">
        <v>0</v>
      </c>
      <c r="DC69" s="409"/>
      <c r="DD69" s="409"/>
      <c r="DE69" s="409">
        <v>0</v>
      </c>
      <c r="DF69" s="409">
        <v>0</v>
      </c>
      <c r="DG69" s="409">
        <v>0</v>
      </c>
      <c r="DH69" s="409">
        <v>0</v>
      </c>
      <c r="DI69" s="409">
        <v>0</v>
      </c>
      <c r="DJ69" s="409"/>
      <c r="DK69" s="409">
        <v>0</v>
      </c>
      <c r="DL69" s="409">
        <v>0</v>
      </c>
      <c r="DM69" s="409"/>
      <c r="DN69" s="409">
        <v>0</v>
      </c>
      <c r="DO69" s="409">
        <v>0</v>
      </c>
      <c r="DP69" s="409">
        <v>0</v>
      </c>
      <c r="DQ69" s="409">
        <v>0</v>
      </c>
      <c r="DR69" s="409">
        <v>8.5154545703282878</v>
      </c>
      <c r="DS69" s="409"/>
      <c r="DT69" s="409"/>
      <c r="DU69" s="409">
        <v>3156.6615245067596</v>
      </c>
      <c r="DV69" s="409"/>
      <c r="DW69" s="409">
        <v>0</v>
      </c>
      <c r="DX69" s="409">
        <v>0</v>
      </c>
      <c r="DY69" s="409">
        <v>-608.40000000000055</v>
      </c>
      <c r="DZ69" s="409"/>
      <c r="EA69" s="409">
        <v>0</v>
      </c>
      <c r="EB69" s="409"/>
      <c r="EC69" s="409">
        <v>-723.58104854615976</v>
      </c>
      <c r="ED69" s="409"/>
      <c r="EE69" s="409">
        <v>0</v>
      </c>
      <c r="EF69" s="409">
        <v>0</v>
      </c>
      <c r="EG69" s="409"/>
      <c r="EH69" s="409">
        <v>0</v>
      </c>
      <c r="EI69" s="409">
        <v>0</v>
      </c>
      <c r="EJ69" s="409">
        <v>0</v>
      </c>
      <c r="EK69" s="409">
        <v>0</v>
      </c>
      <c r="EL69" s="409">
        <v>0</v>
      </c>
      <c r="EM69" s="409"/>
      <c r="EN69" s="409"/>
      <c r="EO69" s="409">
        <v>0</v>
      </c>
      <c r="EP69" s="409">
        <v>0</v>
      </c>
      <c r="EQ69" s="409"/>
      <c r="ER69" s="409">
        <v>0</v>
      </c>
      <c r="ES69" s="409"/>
      <c r="ET69" s="409">
        <v>0</v>
      </c>
      <c r="EU69" s="409"/>
      <c r="EV69" s="409">
        <v>254</v>
      </c>
      <c r="EW69" s="409"/>
      <c r="EX69" s="409"/>
      <c r="EY69" s="409"/>
      <c r="EZ69" s="409"/>
      <c r="FA69" s="409">
        <v>0</v>
      </c>
      <c r="FB69" s="409"/>
      <c r="FC69" s="409"/>
      <c r="FD69" s="409"/>
      <c r="FE69" s="409"/>
      <c r="FF69" s="409">
        <v>0</v>
      </c>
      <c r="FG69" s="409">
        <v>0</v>
      </c>
      <c r="FH69" s="409">
        <v>0</v>
      </c>
      <c r="FI69" s="409">
        <v>0</v>
      </c>
    </row>
    <row r="70" spans="1:165" customFormat="1">
      <c r="A70" s="409">
        <v>68</v>
      </c>
      <c r="B70" s="409" t="s">
        <v>1035</v>
      </c>
      <c r="C70" s="409" t="s">
        <v>2244</v>
      </c>
      <c r="D70" s="409" t="s">
        <v>1994</v>
      </c>
      <c r="E70" s="409" t="s">
        <v>997</v>
      </c>
      <c r="F70" s="409" t="s">
        <v>1323</v>
      </c>
      <c r="G70" s="409" t="s">
        <v>1323</v>
      </c>
      <c r="H70" s="409" t="s">
        <v>1323</v>
      </c>
      <c r="I70" s="409" t="s">
        <v>1323</v>
      </c>
      <c r="J70" s="409" t="s">
        <v>2245</v>
      </c>
      <c r="K70" s="835">
        <v>44378</v>
      </c>
      <c r="L70" s="409">
        <v>0</v>
      </c>
      <c r="M70" s="409">
        <v>0</v>
      </c>
      <c r="N70" s="409">
        <v>51.213000000000001</v>
      </c>
      <c r="O70" s="409">
        <v>51.213000000000001</v>
      </c>
      <c r="P70" s="409">
        <v>51.213000000000001</v>
      </c>
      <c r="Q70" s="409">
        <v>51.213000000000001</v>
      </c>
      <c r="R70" s="409"/>
      <c r="S70" s="409">
        <v>597.01</v>
      </c>
      <c r="T70" s="409">
        <v>243.39</v>
      </c>
      <c r="U70" s="409"/>
      <c r="V70" s="409">
        <v>43039.405200000001</v>
      </c>
      <c r="W70" s="409">
        <v>43039.405200000001</v>
      </c>
      <c r="X70" s="409">
        <v>38987.432639999999</v>
      </c>
      <c r="Y70" s="409">
        <v>0</v>
      </c>
      <c r="Z70" s="409">
        <v>1274.3575314251648</v>
      </c>
      <c r="AA70" s="409">
        <v>0</v>
      </c>
      <c r="AB70" s="409">
        <v>0</v>
      </c>
      <c r="AC70" s="409">
        <v>0</v>
      </c>
      <c r="AD70" s="409">
        <v>6001.6036170743801</v>
      </c>
      <c r="AE70" s="409">
        <v>20999.302968679938</v>
      </c>
      <c r="AF70" s="409">
        <v>12464.590968006825</v>
      </c>
      <c r="AG70" s="409">
        <v>0</v>
      </c>
      <c r="AH70" s="409">
        <v>0</v>
      </c>
      <c r="AI70" s="409">
        <v>0</v>
      </c>
      <c r="AJ70" s="409">
        <v>0</v>
      </c>
      <c r="AK70" s="409">
        <v>0</v>
      </c>
      <c r="AL70" s="409">
        <v>520.27751844187594</v>
      </c>
      <c r="AM70" s="409"/>
      <c r="AN70" s="409">
        <v>87.926136040510684</v>
      </c>
      <c r="AO70" s="409">
        <v>0</v>
      </c>
      <c r="AP70" s="409">
        <v>0</v>
      </c>
      <c r="AQ70" s="409">
        <v>0</v>
      </c>
      <c r="AR70" s="409">
        <v>0</v>
      </c>
      <c r="AS70" s="409">
        <v>0</v>
      </c>
      <c r="AT70" s="409">
        <v>0</v>
      </c>
      <c r="AU70" s="409">
        <v>0</v>
      </c>
      <c r="AV70" s="409">
        <v>0</v>
      </c>
      <c r="AW70" s="409">
        <v>0</v>
      </c>
      <c r="AX70" s="409">
        <v>0</v>
      </c>
      <c r="AY70" s="409">
        <v>0</v>
      </c>
      <c r="AZ70" s="409">
        <v>0</v>
      </c>
      <c r="BA70" s="409"/>
      <c r="BB70" s="409">
        <v>0</v>
      </c>
      <c r="BC70" s="409">
        <v>0</v>
      </c>
      <c r="BD70" s="409">
        <v>0</v>
      </c>
      <c r="BE70" s="409">
        <v>0</v>
      </c>
      <c r="BF70" s="409">
        <v>0</v>
      </c>
      <c r="BG70" s="409">
        <v>1691.0189133946349</v>
      </c>
      <c r="BH70" s="409">
        <v>0</v>
      </c>
      <c r="BI70" s="409">
        <v>62.76</v>
      </c>
      <c r="BJ70" s="409">
        <v>289.88</v>
      </c>
      <c r="BK70" s="409">
        <v>3664.55</v>
      </c>
      <c r="BL70" s="409">
        <v>207</v>
      </c>
      <c r="BM70" s="409"/>
      <c r="BN70" s="409"/>
      <c r="BO70" s="409"/>
      <c r="BP70" s="409"/>
      <c r="BQ70" s="409"/>
      <c r="BR70" s="409"/>
      <c r="BS70" s="409"/>
      <c r="BT70" s="409"/>
      <c r="BU70" s="409"/>
      <c r="BV70" s="409">
        <v>14155.60988140146</v>
      </c>
      <c r="BW70" s="409"/>
      <c r="BX70" s="409"/>
      <c r="BY70" s="409"/>
      <c r="BZ70" s="409"/>
      <c r="CA70" s="409"/>
      <c r="CB70" s="409"/>
      <c r="CC70" s="409"/>
      <c r="CD70" s="409"/>
      <c r="CE70" s="409"/>
      <c r="CF70" s="409"/>
      <c r="CG70" s="409"/>
      <c r="CH70" s="409"/>
      <c r="CI70" s="409">
        <v>38985.148799999995</v>
      </c>
      <c r="CJ70" s="409">
        <v>-4054.2864000000045</v>
      </c>
      <c r="CK70" s="409"/>
      <c r="CL70" s="409"/>
      <c r="CM70" s="409"/>
      <c r="CN70" s="409"/>
      <c r="CO70" s="409">
        <v>-4485.2345399999995</v>
      </c>
      <c r="CP70" s="409">
        <v>433.26198000000039</v>
      </c>
      <c r="CQ70" s="409">
        <v>31</v>
      </c>
      <c r="CR70" s="409">
        <v>761.73309785479432</v>
      </c>
      <c r="CS70" s="409">
        <v>0</v>
      </c>
      <c r="CT70" s="409">
        <v>0</v>
      </c>
      <c r="CU70" s="409">
        <v>0</v>
      </c>
      <c r="CV70" s="409">
        <v>0</v>
      </c>
      <c r="CW70" s="409">
        <v>0</v>
      </c>
      <c r="CX70" s="409">
        <v>0</v>
      </c>
      <c r="CY70" s="409">
        <v>0</v>
      </c>
      <c r="CZ70" s="409">
        <v>225.00383002477884</v>
      </c>
      <c r="DA70" s="409">
        <v>0</v>
      </c>
      <c r="DB70" s="409">
        <v>0</v>
      </c>
      <c r="DC70" s="409">
        <v>571.00174995390626</v>
      </c>
      <c r="DD70" s="409">
        <v>0</v>
      </c>
      <c r="DE70" s="409">
        <v>0</v>
      </c>
      <c r="DF70" s="409">
        <v>0</v>
      </c>
      <c r="DG70" s="409">
        <v>77.465418739516963</v>
      </c>
      <c r="DH70" s="409">
        <v>0</v>
      </c>
      <c r="DI70" s="409">
        <v>-9.2937374737862228</v>
      </c>
      <c r="DJ70" s="409"/>
      <c r="DK70" s="409">
        <v>0</v>
      </c>
      <c r="DL70" s="409">
        <v>0</v>
      </c>
      <c r="DM70" s="409">
        <v>0</v>
      </c>
      <c r="DN70" s="409">
        <v>0</v>
      </c>
      <c r="DO70" s="409">
        <v>-2.9182117405861163</v>
      </c>
      <c r="DP70" s="409">
        <v>-5.1791435976382871</v>
      </c>
      <c r="DQ70" s="409">
        <v>0</v>
      </c>
      <c r="DR70" s="409">
        <v>-94.346808051397716</v>
      </c>
      <c r="DS70" s="409"/>
      <c r="DT70" s="409"/>
      <c r="DU70" s="409"/>
      <c r="DV70" s="409">
        <v>20999.302968679938</v>
      </c>
      <c r="DW70" s="409">
        <v>0</v>
      </c>
      <c r="DX70" s="409">
        <v>0</v>
      </c>
      <c r="DY70" s="409">
        <v>-4485.2345399999977</v>
      </c>
      <c r="DZ70" s="409">
        <v>433.26197999999931</v>
      </c>
      <c r="EA70" s="409">
        <v>0</v>
      </c>
      <c r="EB70" s="409">
        <v>0</v>
      </c>
      <c r="EC70" s="409">
        <v>-4813.5340272791327</v>
      </c>
      <c r="ED70" s="409">
        <v>0</v>
      </c>
      <c r="EE70" s="409">
        <v>0</v>
      </c>
      <c r="EF70" s="409">
        <v>0</v>
      </c>
      <c r="EG70" s="409">
        <v>0</v>
      </c>
      <c r="EH70" s="409">
        <v>0</v>
      </c>
      <c r="EI70" s="409">
        <v>0</v>
      </c>
      <c r="EJ70" s="409">
        <v>0</v>
      </c>
      <c r="EK70" s="409">
        <v>0</v>
      </c>
      <c r="EL70" s="409">
        <v>0</v>
      </c>
      <c r="EM70" s="409">
        <v>0</v>
      </c>
      <c r="EN70" s="409">
        <v>0</v>
      </c>
      <c r="EO70" s="409">
        <v>0</v>
      </c>
      <c r="EP70" s="409">
        <v>0</v>
      </c>
      <c r="EQ70" s="409">
        <v>0</v>
      </c>
      <c r="ER70" s="409">
        <v>0</v>
      </c>
      <c r="ES70" s="409">
        <v>0</v>
      </c>
      <c r="ET70" s="409">
        <v>0</v>
      </c>
      <c r="EU70" s="409">
        <v>0</v>
      </c>
      <c r="EV70" s="409">
        <v>254</v>
      </c>
      <c r="EW70" s="409">
        <v>0</v>
      </c>
      <c r="EX70" s="409">
        <v>0</v>
      </c>
      <c r="EY70" s="409">
        <v>0</v>
      </c>
      <c r="EZ70" s="409"/>
      <c r="FA70" s="409">
        <v>0</v>
      </c>
      <c r="FB70" s="409"/>
      <c r="FC70" s="409"/>
      <c r="FD70" s="409"/>
      <c r="FE70" s="409"/>
      <c r="FF70" s="409">
        <v>0</v>
      </c>
      <c r="FG70" s="409">
        <v>0</v>
      </c>
      <c r="FH70" s="409">
        <v>0</v>
      </c>
      <c r="FI70" s="409">
        <v>0</v>
      </c>
    </row>
    <row r="71" spans="1:165" customFormat="1">
      <c r="A71" s="409">
        <v>69</v>
      </c>
      <c r="B71" s="409" t="s">
        <v>2246</v>
      </c>
      <c r="C71" s="409" t="s">
        <v>2244</v>
      </c>
      <c r="D71" s="409" t="s">
        <v>1994</v>
      </c>
      <c r="E71" s="409" t="s">
        <v>997</v>
      </c>
      <c r="F71" s="409" t="s">
        <v>1323</v>
      </c>
      <c r="G71" s="409" t="s">
        <v>1323</v>
      </c>
      <c r="H71" s="409" t="s">
        <v>1323</v>
      </c>
      <c r="I71" s="409" t="s">
        <v>1323</v>
      </c>
      <c r="J71" s="409" t="s">
        <v>2245</v>
      </c>
      <c r="K71" s="835">
        <v>44378</v>
      </c>
      <c r="L71" s="409">
        <v>0</v>
      </c>
      <c r="M71" s="409">
        <v>0</v>
      </c>
      <c r="N71" s="409">
        <v>6.415</v>
      </c>
      <c r="O71" s="409">
        <v>6.415</v>
      </c>
      <c r="P71" s="409">
        <v>6.415</v>
      </c>
      <c r="Q71" s="409">
        <v>6.415</v>
      </c>
      <c r="R71" s="409"/>
      <c r="S71" s="409">
        <v>597.01</v>
      </c>
      <c r="T71" s="409">
        <v>243.39</v>
      </c>
      <c r="U71" s="409"/>
      <c r="V71" s="409">
        <v>5391.1659999999993</v>
      </c>
      <c r="W71" s="409">
        <v>5391.1659999999993</v>
      </c>
      <c r="X71" s="409">
        <v>4883.6111999999994</v>
      </c>
      <c r="Y71" s="409">
        <v>0</v>
      </c>
      <c r="Z71" s="409">
        <v>159.62750793924261</v>
      </c>
      <c r="AA71" s="409">
        <v>0</v>
      </c>
      <c r="AB71" s="409">
        <v>0</v>
      </c>
      <c r="AC71" s="409">
        <v>0</v>
      </c>
      <c r="AD71" s="409">
        <v>751.76785588682856</v>
      </c>
      <c r="AE71" s="409">
        <v>2630.3971363536953</v>
      </c>
      <c r="AF71" s="409">
        <v>1561.32917540007</v>
      </c>
      <c r="AG71" s="409">
        <v>0</v>
      </c>
      <c r="AH71" s="409">
        <v>0</v>
      </c>
      <c r="AI71" s="409">
        <v>0</v>
      </c>
      <c r="AJ71" s="409">
        <v>0</v>
      </c>
      <c r="AK71" s="409">
        <v>0</v>
      </c>
      <c r="AL71" s="409">
        <v>65.170567645024391</v>
      </c>
      <c r="AM71" s="409"/>
      <c r="AN71" s="409">
        <v>11.013730160308437</v>
      </c>
      <c r="AO71" s="409">
        <v>0</v>
      </c>
      <c r="AP71" s="409">
        <v>0</v>
      </c>
      <c r="AQ71" s="409">
        <v>0</v>
      </c>
      <c r="AR71" s="409">
        <v>0</v>
      </c>
      <c r="AS71" s="409">
        <v>0</v>
      </c>
      <c r="AT71" s="409">
        <v>0</v>
      </c>
      <c r="AU71" s="409">
        <v>0</v>
      </c>
      <c r="AV71" s="409">
        <v>0</v>
      </c>
      <c r="AW71" s="409">
        <v>0</v>
      </c>
      <c r="AX71" s="409">
        <v>0</v>
      </c>
      <c r="AY71" s="409">
        <v>0</v>
      </c>
      <c r="AZ71" s="409">
        <v>0</v>
      </c>
      <c r="BA71" s="409"/>
      <c r="BB71" s="409">
        <v>0</v>
      </c>
      <c r="BC71" s="409">
        <v>0</v>
      </c>
      <c r="BD71" s="409">
        <v>0</v>
      </c>
      <c r="BE71" s="409">
        <v>0</v>
      </c>
      <c r="BF71" s="409">
        <v>0</v>
      </c>
      <c r="BG71" s="409">
        <v>211.81899770422712</v>
      </c>
      <c r="BH71" s="409">
        <v>0</v>
      </c>
      <c r="BI71" s="409">
        <v>0</v>
      </c>
      <c r="BJ71" s="409">
        <v>0</v>
      </c>
      <c r="BK71" s="409">
        <v>0</v>
      </c>
      <c r="BL71" s="409">
        <v>6</v>
      </c>
      <c r="BM71" s="409"/>
      <c r="BN71" s="409"/>
      <c r="BO71" s="409"/>
      <c r="BP71" s="409"/>
      <c r="BQ71" s="409"/>
      <c r="BR71" s="409"/>
      <c r="BS71" s="409"/>
      <c r="BT71" s="409"/>
      <c r="BU71" s="409"/>
      <c r="BV71" s="409">
        <v>1773.148173104297</v>
      </c>
      <c r="BW71" s="409"/>
      <c r="BX71" s="409"/>
      <c r="BY71" s="409"/>
      <c r="BZ71" s="409"/>
      <c r="CA71" s="409"/>
      <c r="CB71" s="409"/>
      <c r="CC71" s="409"/>
      <c r="CD71" s="409"/>
      <c r="CE71" s="409"/>
      <c r="CF71" s="409"/>
      <c r="CG71" s="409"/>
      <c r="CH71" s="409"/>
      <c r="CI71" s="409">
        <v>4887.4175999999998</v>
      </c>
      <c r="CJ71" s="409">
        <v>-503.77840000000015</v>
      </c>
      <c r="CK71" s="409"/>
      <c r="CL71" s="409"/>
      <c r="CM71" s="409"/>
      <c r="CN71" s="409"/>
      <c r="CO71" s="409">
        <v>-561.82569999999987</v>
      </c>
      <c r="CP71" s="409">
        <v>54.270900000000054</v>
      </c>
      <c r="CQ71" s="409">
        <v>31</v>
      </c>
      <c r="CR71" s="409">
        <v>95.4155746146198</v>
      </c>
      <c r="CS71" s="409">
        <v>0</v>
      </c>
      <c r="CT71" s="409">
        <v>0</v>
      </c>
      <c r="CU71" s="409">
        <v>0</v>
      </c>
      <c r="CV71" s="409">
        <v>0</v>
      </c>
      <c r="CW71" s="409">
        <v>0</v>
      </c>
      <c r="CX71" s="409">
        <v>0</v>
      </c>
      <c r="CY71" s="409">
        <v>0</v>
      </c>
      <c r="CZ71" s="409">
        <v>28.184241688808584</v>
      </c>
      <c r="DA71" s="409">
        <v>0</v>
      </c>
      <c r="DB71" s="409">
        <v>0</v>
      </c>
      <c r="DC71" s="409">
        <v>71.524343935217757</v>
      </c>
      <c r="DD71" s="409">
        <v>0</v>
      </c>
      <c r="DE71" s="409">
        <v>0</v>
      </c>
      <c r="DF71" s="409">
        <v>0</v>
      </c>
      <c r="DG71" s="409">
        <v>9.7034085332630298</v>
      </c>
      <c r="DH71" s="409">
        <v>0</v>
      </c>
      <c r="DI71" s="409">
        <v>-1.1641443753409817</v>
      </c>
      <c r="DJ71" s="409"/>
      <c r="DK71" s="409">
        <v>0</v>
      </c>
      <c r="DL71" s="409">
        <v>0</v>
      </c>
      <c r="DM71" s="409">
        <v>0</v>
      </c>
      <c r="DN71" s="409">
        <v>0</v>
      </c>
      <c r="DO71" s="409">
        <v>-0.36553859988401882</v>
      </c>
      <c r="DP71" s="409">
        <v>-0.64874555637923059</v>
      </c>
      <c r="DQ71" s="409">
        <v>0</v>
      </c>
      <c r="DR71" s="409">
        <v>-11.817991011065867</v>
      </c>
      <c r="DS71" s="409"/>
      <c r="DT71" s="409"/>
      <c r="DU71" s="409"/>
      <c r="DV71" s="409">
        <v>2630.3971363536953</v>
      </c>
      <c r="DW71" s="409">
        <v>0</v>
      </c>
      <c r="DX71" s="409">
        <v>0</v>
      </c>
      <c r="DY71" s="409">
        <v>-561.82569999999987</v>
      </c>
      <c r="DZ71" s="409">
        <v>54.270899999999983</v>
      </c>
      <c r="EA71" s="409">
        <v>0</v>
      </c>
      <c r="EB71" s="409">
        <v>0</v>
      </c>
      <c r="EC71" s="409">
        <v>-602.94887596890703</v>
      </c>
      <c r="ED71" s="409">
        <v>0</v>
      </c>
      <c r="EE71" s="409">
        <v>0</v>
      </c>
      <c r="EF71" s="409">
        <v>0</v>
      </c>
      <c r="EG71" s="409">
        <v>0</v>
      </c>
      <c r="EH71" s="409">
        <v>0</v>
      </c>
      <c r="EI71" s="409">
        <v>0</v>
      </c>
      <c r="EJ71" s="409">
        <v>0</v>
      </c>
      <c r="EK71" s="409">
        <v>0</v>
      </c>
      <c r="EL71" s="409">
        <v>0</v>
      </c>
      <c r="EM71" s="409">
        <v>0</v>
      </c>
      <c r="EN71" s="409">
        <v>0</v>
      </c>
      <c r="EO71" s="409">
        <v>0</v>
      </c>
      <c r="EP71" s="409">
        <v>0</v>
      </c>
      <c r="EQ71" s="409">
        <v>0</v>
      </c>
      <c r="ER71" s="409">
        <v>0</v>
      </c>
      <c r="ES71" s="409">
        <v>0</v>
      </c>
      <c r="ET71" s="409">
        <v>0</v>
      </c>
      <c r="EU71" s="409">
        <v>0</v>
      </c>
      <c r="EV71" s="409">
        <v>254</v>
      </c>
      <c r="EW71" s="409">
        <v>0</v>
      </c>
      <c r="EX71" s="409">
        <v>0</v>
      </c>
      <c r="EY71" s="409">
        <v>0</v>
      </c>
      <c r="EZ71" s="409"/>
      <c r="FA71" s="409">
        <v>0</v>
      </c>
      <c r="FB71" s="409"/>
      <c r="FC71" s="409"/>
      <c r="FD71" s="409"/>
      <c r="FE71" s="409"/>
      <c r="FF71" s="409">
        <v>0</v>
      </c>
      <c r="FG71" s="409">
        <v>0</v>
      </c>
      <c r="FH71" s="409">
        <v>0</v>
      </c>
      <c r="FI71" s="409">
        <v>0</v>
      </c>
    </row>
    <row r="72" spans="1:165" customFormat="1">
      <c r="A72" s="409">
        <v>70</v>
      </c>
      <c r="B72" s="409" t="s">
        <v>1035</v>
      </c>
      <c r="C72" s="409" t="s">
        <v>2252</v>
      </c>
      <c r="D72" s="409" t="s">
        <v>1994</v>
      </c>
      <c r="E72" s="409" t="s">
        <v>997</v>
      </c>
      <c r="F72" s="409" t="s">
        <v>1323</v>
      </c>
      <c r="G72" s="409" t="s">
        <v>1323</v>
      </c>
      <c r="H72" s="409" t="s">
        <v>1323</v>
      </c>
      <c r="I72" s="409" t="s">
        <v>972</v>
      </c>
      <c r="J72" s="409" t="s">
        <v>2245</v>
      </c>
      <c r="K72" s="835">
        <v>44378</v>
      </c>
      <c r="L72" s="409">
        <v>0</v>
      </c>
      <c r="M72" s="409">
        <v>0</v>
      </c>
      <c r="N72" s="409">
        <v>1.4E-2</v>
      </c>
      <c r="O72" s="409">
        <v>1.4E-2</v>
      </c>
      <c r="P72" s="409">
        <v>1.4E-2</v>
      </c>
      <c r="Q72" s="409">
        <v>1.4E-2</v>
      </c>
      <c r="R72" s="409"/>
      <c r="S72" s="409">
        <v>1783.27</v>
      </c>
      <c r="T72" s="409">
        <v>243.39</v>
      </c>
      <c r="U72" s="409"/>
      <c r="V72" s="409">
        <v>28.373239999999999</v>
      </c>
      <c r="W72" s="409">
        <v>28.373239999999999</v>
      </c>
      <c r="X72" s="409">
        <v>24.46668</v>
      </c>
      <c r="Y72" s="409">
        <v>0</v>
      </c>
      <c r="Z72" s="409">
        <v>0.34836868451276642</v>
      </c>
      <c r="AA72" s="409">
        <v>0</v>
      </c>
      <c r="AB72" s="409">
        <v>0</v>
      </c>
      <c r="AC72" s="409">
        <v>0</v>
      </c>
      <c r="AD72" s="409">
        <v>5.3321053184552305</v>
      </c>
      <c r="AE72" s="409">
        <v>18.656760424556801</v>
      </c>
      <c r="AF72" s="409">
        <v>3.4074214272176118</v>
      </c>
      <c r="AG72" s="409">
        <v>0</v>
      </c>
      <c r="AH72" s="409">
        <v>0</v>
      </c>
      <c r="AI72" s="409">
        <v>0</v>
      </c>
      <c r="AJ72" s="409">
        <v>0</v>
      </c>
      <c r="AK72" s="409">
        <v>0</v>
      </c>
      <c r="AL72" s="409">
        <v>0.14222727155578199</v>
      </c>
      <c r="AM72" s="409"/>
      <c r="AN72" s="409">
        <v>2.40361998822008E-2</v>
      </c>
      <c r="AO72" s="409">
        <v>0</v>
      </c>
      <c r="AP72" s="409">
        <v>0</v>
      </c>
      <c r="AQ72" s="409">
        <v>0</v>
      </c>
      <c r="AR72" s="409">
        <v>0</v>
      </c>
      <c r="AS72" s="409">
        <v>0</v>
      </c>
      <c r="AT72" s="409">
        <v>0</v>
      </c>
      <c r="AU72" s="409">
        <v>0</v>
      </c>
      <c r="AV72" s="409">
        <v>0</v>
      </c>
      <c r="AW72" s="409">
        <v>0</v>
      </c>
      <c r="AX72" s="409">
        <v>0</v>
      </c>
      <c r="AY72" s="409">
        <v>0</v>
      </c>
      <c r="AZ72" s="409">
        <v>0</v>
      </c>
      <c r="BA72" s="409"/>
      <c r="BB72" s="409">
        <v>0</v>
      </c>
      <c r="BC72" s="409">
        <v>0</v>
      </c>
      <c r="BD72" s="409">
        <v>0</v>
      </c>
      <c r="BE72" s="409">
        <v>0</v>
      </c>
      <c r="BF72" s="409">
        <v>0</v>
      </c>
      <c r="BG72" s="409">
        <v>0.46227061073408876</v>
      </c>
      <c r="BH72" s="409">
        <v>0</v>
      </c>
      <c r="BI72" s="409">
        <v>0</v>
      </c>
      <c r="BJ72" s="409">
        <v>0</v>
      </c>
      <c r="BK72" s="409">
        <v>0</v>
      </c>
      <c r="BL72" s="409">
        <v>0</v>
      </c>
      <c r="BM72" s="409"/>
      <c r="BN72" s="409"/>
      <c r="BO72" s="409"/>
      <c r="BP72" s="409"/>
      <c r="BQ72" s="409"/>
      <c r="BR72" s="409"/>
      <c r="BS72" s="409"/>
      <c r="BT72" s="409"/>
      <c r="BU72" s="409"/>
      <c r="BV72" s="409">
        <v>3.8696920379517006</v>
      </c>
      <c r="BW72" s="409"/>
      <c r="BX72" s="409"/>
      <c r="BY72" s="409"/>
      <c r="BZ72" s="409"/>
      <c r="CA72" s="409"/>
      <c r="CB72" s="409"/>
      <c r="CC72" s="409"/>
      <c r="CD72" s="409"/>
      <c r="CE72" s="409"/>
      <c r="CF72" s="409"/>
      <c r="CG72" s="409"/>
      <c r="CH72" s="409"/>
      <c r="CI72" s="409">
        <v>17.476200000000002</v>
      </c>
      <c r="CJ72" s="409">
        <v>-10.927040000000002</v>
      </c>
      <c r="CK72" s="409"/>
      <c r="CL72" s="409"/>
      <c r="CM72" s="409"/>
      <c r="CN72" s="409"/>
      <c r="CO72" s="409">
        <v>-4.0250000000000004</v>
      </c>
      <c r="CP72" s="409">
        <v>0.11844000000000011</v>
      </c>
      <c r="CQ72" s="409">
        <v>31</v>
      </c>
      <c r="CR72" s="409">
        <v>0.3700744310247952</v>
      </c>
      <c r="CS72" s="409">
        <v>0</v>
      </c>
      <c r="CT72" s="409">
        <v>0</v>
      </c>
      <c r="CU72" s="409">
        <v>0</v>
      </c>
      <c r="CV72" s="409">
        <v>0</v>
      </c>
      <c r="CW72" s="409">
        <v>0</v>
      </c>
      <c r="CX72" s="409">
        <v>0</v>
      </c>
      <c r="CY72" s="409">
        <v>0</v>
      </c>
      <c r="CZ72" s="409">
        <v>0.19990392490009157</v>
      </c>
      <c r="DA72" s="409">
        <v>0</v>
      </c>
      <c r="DB72" s="409">
        <v>0</v>
      </c>
      <c r="DC72" s="409">
        <v>0.15609365784770812</v>
      </c>
      <c r="DD72" s="409">
        <v>0</v>
      </c>
      <c r="DE72" s="409">
        <v>0</v>
      </c>
      <c r="DF72" s="409">
        <v>0</v>
      </c>
      <c r="DG72" s="409">
        <v>2.1176573572203095E-2</v>
      </c>
      <c r="DH72" s="409">
        <v>0</v>
      </c>
      <c r="DI72" s="409">
        <v>-2.5406112634098199E-3</v>
      </c>
      <c r="DJ72" s="409"/>
      <c r="DK72" s="409">
        <v>0</v>
      </c>
      <c r="DL72" s="409">
        <v>0</v>
      </c>
      <c r="DM72" s="409">
        <v>0</v>
      </c>
      <c r="DN72" s="409">
        <v>0</v>
      </c>
      <c r="DO72" s="409">
        <v>-7.9774597012879922E-4</v>
      </c>
      <c r="DP72" s="409">
        <v>-1.4158125938128173E-3</v>
      </c>
      <c r="DQ72" s="409">
        <v>0</v>
      </c>
      <c r="DR72" s="409">
        <v>-2.3455554678578419E-3</v>
      </c>
      <c r="DS72" s="409"/>
      <c r="DT72" s="409"/>
      <c r="DU72" s="409"/>
      <c r="DV72" s="409">
        <v>18.656760424556801</v>
      </c>
      <c r="DW72" s="409">
        <v>0</v>
      </c>
      <c r="DX72" s="409">
        <v>0</v>
      </c>
      <c r="DY72" s="409">
        <v>-4.0249999999999986</v>
      </c>
      <c r="DZ72" s="409">
        <v>0.1184400000000001</v>
      </c>
      <c r="EA72" s="409">
        <v>0</v>
      </c>
      <c r="EB72" s="409">
        <v>0</v>
      </c>
      <c r="EC72" s="409">
        <v>-4.2765681925891403</v>
      </c>
      <c r="ED72" s="409">
        <v>0</v>
      </c>
      <c r="EE72" s="409">
        <v>0</v>
      </c>
      <c r="EF72" s="409">
        <v>0</v>
      </c>
      <c r="EG72" s="409">
        <v>0</v>
      </c>
      <c r="EH72" s="409">
        <v>0</v>
      </c>
      <c r="EI72" s="409">
        <v>0</v>
      </c>
      <c r="EJ72" s="409">
        <v>0</v>
      </c>
      <c r="EK72" s="409">
        <v>0</v>
      </c>
      <c r="EL72" s="409">
        <v>0</v>
      </c>
      <c r="EM72" s="409">
        <v>0</v>
      </c>
      <c r="EN72" s="409">
        <v>0</v>
      </c>
      <c r="EO72" s="409">
        <v>0</v>
      </c>
      <c r="EP72" s="409">
        <v>0</v>
      </c>
      <c r="EQ72" s="409">
        <v>0</v>
      </c>
      <c r="ER72" s="409">
        <v>0</v>
      </c>
      <c r="ES72" s="409">
        <v>0</v>
      </c>
      <c r="ET72" s="409">
        <v>0</v>
      </c>
      <c r="EU72" s="409">
        <v>0</v>
      </c>
      <c r="EV72" s="409">
        <v>254</v>
      </c>
      <c r="EW72" s="409">
        <v>0</v>
      </c>
      <c r="EX72" s="409">
        <v>0</v>
      </c>
      <c r="EY72" s="409">
        <v>0</v>
      </c>
      <c r="EZ72" s="409"/>
      <c r="FA72" s="409">
        <v>0</v>
      </c>
      <c r="FB72" s="409"/>
      <c r="FC72" s="409"/>
      <c r="FD72" s="409"/>
      <c r="FE72" s="409"/>
      <c r="FF72" s="409">
        <v>0</v>
      </c>
      <c r="FG72" s="409">
        <v>0</v>
      </c>
      <c r="FH72" s="409">
        <v>0</v>
      </c>
      <c r="FI72" s="409">
        <v>0</v>
      </c>
    </row>
    <row r="73" spans="1:165" customFormat="1">
      <c r="A73" s="409">
        <v>71</v>
      </c>
      <c r="B73" s="409" t="s">
        <v>1035</v>
      </c>
      <c r="C73" s="409" t="s">
        <v>2252</v>
      </c>
      <c r="D73" s="409" t="s">
        <v>1994</v>
      </c>
      <c r="E73" s="409" t="s">
        <v>997</v>
      </c>
      <c r="F73" s="409" t="s">
        <v>1323</v>
      </c>
      <c r="G73" s="409" t="s">
        <v>1323</v>
      </c>
      <c r="H73" s="409" t="s">
        <v>1323</v>
      </c>
      <c r="I73" s="409" t="s">
        <v>2237</v>
      </c>
      <c r="J73" s="409" t="s">
        <v>2245</v>
      </c>
      <c r="K73" s="835">
        <v>44378</v>
      </c>
      <c r="L73" s="409">
        <v>0</v>
      </c>
      <c r="M73" s="409">
        <v>0</v>
      </c>
      <c r="N73" s="409">
        <v>0.34399999999999997</v>
      </c>
      <c r="O73" s="409">
        <v>0.34399999999999997</v>
      </c>
      <c r="P73" s="409">
        <v>0.34399999999999997</v>
      </c>
      <c r="Q73" s="409">
        <v>0.34399999999999997</v>
      </c>
      <c r="R73" s="409"/>
      <c r="S73" s="409">
        <v>412.48</v>
      </c>
      <c r="T73" s="409">
        <v>243.39</v>
      </c>
      <c r="U73" s="409"/>
      <c r="V73" s="409">
        <v>225.61927999999997</v>
      </c>
      <c r="W73" s="409">
        <v>225.61927999999997</v>
      </c>
      <c r="X73" s="409">
        <v>209.10039999999998</v>
      </c>
      <c r="Y73" s="409">
        <v>0</v>
      </c>
      <c r="Z73" s="409">
        <v>8.5599162480279745</v>
      </c>
      <c r="AA73" s="409">
        <v>0</v>
      </c>
      <c r="AB73" s="409">
        <v>0</v>
      </c>
      <c r="AC73" s="409">
        <v>0</v>
      </c>
      <c r="AD73" s="409">
        <v>26.203902711537292</v>
      </c>
      <c r="AE73" s="409">
        <v>91.684689934235109</v>
      </c>
      <c r="AF73" s="409">
        <v>83.725212211632737</v>
      </c>
      <c r="AG73" s="409">
        <v>0</v>
      </c>
      <c r="AH73" s="409">
        <v>0</v>
      </c>
      <c r="AI73" s="409">
        <v>0</v>
      </c>
      <c r="AJ73" s="409">
        <v>0</v>
      </c>
      <c r="AK73" s="409">
        <v>0</v>
      </c>
      <c r="AL73" s="409">
        <v>3.4947272439420716</v>
      </c>
      <c r="AM73" s="409"/>
      <c r="AN73" s="409">
        <v>0.5906037685340767</v>
      </c>
      <c r="AO73" s="409">
        <v>0</v>
      </c>
      <c r="AP73" s="409">
        <v>0</v>
      </c>
      <c r="AQ73" s="409">
        <v>0</v>
      </c>
      <c r="AR73" s="409">
        <v>0</v>
      </c>
      <c r="AS73" s="409">
        <v>0</v>
      </c>
      <c r="AT73" s="409">
        <v>0</v>
      </c>
      <c r="AU73" s="409">
        <v>0</v>
      </c>
      <c r="AV73" s="409">
        <v>0</v>
      </c>
      <c r="AW73" s="409">
        <v>0</v>
      </c>
      <c r="AX73" s="409">
        <v>0</v>
      </c>
      <c r="AY73" s="409">
        <v>0</v>
      </c>
      <c r="AZ73" s="409">
        <v>0</v>
      </c>
      <c r="BA73" s="409"/>
      <c r="BB73" s="409">
        <v>0</v>
      </c>
      <c r="BC73" s="409">
        <v>0</v>
      </c>
      <c r="BD73" s="409">
        <v>0</v>
      </c>
      <c r="BE73" s="409">
        <v>0</v>
      </c>
      <c r="BF73" s="409">
        <v>0</v>
      </c>
      <c r="BG73" s="409">
        <v>11.358649292323323</v>
      </c>
      <c r="BH73" s="409">
        <v>0</v>
      </c>
      <c r="BI73" s="409">
        <v>0</v>
      </c>
      <c r="BJ73" s="409">
        <v>0</v>
      </c>
      <c r="BK73" s="409">
        <v>0</v>
      </c>
      <c r="BL73" s="409">
        <v>0</v>
      </c>
      <c r="BM73" s="409"/>
      <c r="BN73" s="409"/>
      <c r="BO73" s="409"/>
      <c r="BP73" s="409"/>
      <c r="BQ73" s="409"/>
      <c r="BR73" s="409"/>
      <c r="BS73" s="409"/>
      <c r="BT73" s="409"/>
      <c r="BU73" s="409"/>
      <c r="BV73" s="409">
        <v>95.083861503956058</v>
      </c>
      <c r="BW73" s="409"/>
      <c r="BX73" s="409"/>
      <c r="BY73" s="409"/>
      <c r="BZ73" s="409"/>
      <c r="CA73" s="409"/>
      <c r="CB73" s="409"/>
      <c r="CC73" s="409"/>
      <c r="CD73" s="409"/>
      <c r="CE73" s="409"/>
      <c r="CF73" s="409"/>
      <c r="CG73" s="409"/>
      <c r="CH73" s="409"/>
      <c r="CI73" s="409">
        <v>206.66900000000001</v>
      </c>
      <c r="CJ73" s="409">
        <v>-18.980279999999937</v>
      </c>
      <c r="CK73" s="409"/>
      <c r="CL73" s="409"/>
      <c r="CM73" s="409"/>
      <c r="CN73" s="409"/>
      <c r="CO73" s="409">
        <v>-19.429120000000005</v>
      </c>
      <c r="CP73" s="409">
        <v>2.9102400000000026</v>
      </c>
      <c r="CQ73" s="409">
        <v>31</v>
      </c>
      <c r="CR73" s="409">
        <v>4.4980204026432205</v>
      </c>
      <c r="CS73" s="409">
        <v>0</v>
      </c>
      <c r="CT73" s="409">
        <v>0</v>
      </c>
      <c r="CU73" s="409">
        <v>0</v>
      </c>
      <c r="CV73" s="409">
        <v>0</v>
      </c>
      <c r="CW73" s="409">
        <v>0</v>
      </c>
      <c r="CX73" s="409">
        <v>0</v>
      </c>
      <c r="CY73" s="409">
        <v>0</v>
      </c>
      <c r="CZ73" s="409">
        <v>0.98240051290927255</v>
      </c>
      <c r="DA73" s="409">
        <v>0</v>
      </c>
      <c r="DB73" s="409">
        <v>0</v>
      </c>
      <c r="DC73" s="409">
        <v>3.8354441642579786</v>
      </c>
      <c r="DD73" s="409">
        <v>0</v>
      </c>
      <c r="DE73" s="409">
        <v>0</v>
      </c>
      <c r="DF73" s="409">
        <v>0</v>
      </c>
      <c r="DG73" s="409">
        <v>0.52033866491698966</v>
      </c>
      <c r="DH73" s="409">
        <v>0</v>
      </c>
      <c r="DI73" s="409">
        <v>-6.2426448186641892E-2</v>
      </c>
      <c r="DJ73" s="409"/>
      <c r="DK73" s="409">
        <v>0</v>
      </c>
      <c r="DL73" s="409">
        <v>0</v>
      </c>
      <c r="DM73" s="409">
        <v>0</v>
      </c>
      <c r="DN73" s="409">
        <v>0</v>
      </c>
      <c r="DO73" s="409">
        <v>-1.9601758123164892E-2</v>
      </c>
      <c r="DP73" s="409">
        <v>-3.4788538019400628E-2</v>
      </c>
      <c r="DQ73" s="409">
        <v>0</v>
      </c>
      <c r="DR73" s="409">
        <v>-0.72334619511181397</v>
      </c>
      <c r="DS73" s="409"/>
      <c r="DT73" s="409"/>
      <c r="DU73" s="409"/>
      <c r="DV73" s="409">
        <v>91.684689934235109</v>
      </c>
      <c r="DW73" s="409">
        <v>0</v>
      </c>
      <c r="DX73" s="409">
        <v>0</v>
      </c>
      <c r="DY73" s="409">
        <v>-19.429119999999998</v>
      </c>
      <c r="DZ73" s="409">
        <v>2.9102400000000017</v>
      </c>
      <c r="EA73" s="409">
        <v>0</v>
      </c>
      <c r="EB73" s="409">
        <v>0</v>
      </c>
      <c r="EC73" s="409">
        <v>-21.016286847101782</v>
      </c>
      <c r="ED73" s="409">
        <v>0</v>
      </c>
      <c r="EE73" s="409">
        <v>0</v>
      </c>
      <c r="EF73" s="409">
        <v>0</v>
      </c>
      <c r="EG73" s="409">
        <v>0</v>
      </c>
      <c r="EH73" s="409">
        <v>0</v>
      </c>
      <c r="EI73" s="409">
        <v>0</v>
      </c>
      <c r="EJ73" s="409">
        <v>0</v>
      </c>
      <c r="EK73" s="409">
        <v>0</v>
      </c>
      <c r="EL73" s="409">
        <v>0</v>
      </c>
      <c r="EM73" s="409">
        <v>0</v>
      </c>
      <c r="EN73" s="409">
        <v>0</v>
      </c>
      <c r="EO73" s="409">
        <v>0</v>
      </c>
      <c r="EP73" s="409">
        <v>0</v>
      </c>
      <c r="EQ73" s="409">
        <v>0</v>
      </c>
      <c r="ER73" s="409">
        <v>0</v>
      </c>
      <c r="ES73" s="409">
        <v>0</v>
      </c>
      <c r="ET73" s="409">
        <v>0</v>
      </c>
      <c r="EU73" s="409">
        <v>0</v>
      </c>
      <c r="EV73" s="409">
        <v>254</v>
      </c>
      <c r="EW73" s="409">
        <v>0</v>
      </c>
      <c r="EX73" s="409">
        <v>0</v>
      </c>
      <c r="EY73" s="409">
        <v>0</v>
      </c>
      <c r="EZ73" s="409"/>
      <c r="FA73" s="409">
        <v>0</v>
      </c>
      <c r="FB73" s="409"/>
      <c r="FC73" s="409"/>
      <c r="FD73" s="409"/>
      <c r="FE73" s="409"/>
      <c r="FF73" s="409">
        <v>0</v>
      </c>
      <c r="FG73" s="409">
        <v>0</v>
      </c>
      <c r="FH73" s="409">
        <v>0</v>
      </c>
      <c r="FI73" s="409">
        <v>0</v>
      </c>
    </row>
    <row r="74" spans="1:165" customFormat="1">
      <c r="A74" s="409">
        <v>72</v>
      </c>
      <c r="B74" s="409" t="s">
        <v>1035</v>
      </c>
      <c r="C74" s="409" t="s">
        <v>2252</v>
      </c>
      <c r="D74" s="409" t="s">
        <v>1994</v>
      </c>
      <c r="E74" s="409" t="s">
        <v>997</v>
      </c>
      <c r="F74" s="409" t="s">
        <v>1323</v>
      </c>
      <c r="G74" s="409" t="s">
        <v>1323</v>
      </c>
      <c r="H74" s="409" t="s">
        <v>1323</v>
      </c>
      <c r="I74" s="409" t="s">
        <v>1323</v>
      </c>
      <c r="J74" s="409" t="s">
        <v>2245</v>
      </c>
      <c r="K74" s="835">
        <v>44378</v>
      </c>
      <c r="L74" s="409">
        <v>0</v>
      </c>
      <c r="M74" s="409">
        <v>0</v>
      </c>
      <c r="N74" s="409">
        <v>0</v>
      </c>
      <c r="O74" s="409">
        <v>0</v>
      </c>
      <c r="P74" s="409">
        <v>0</v>
      </c>
      <c r="Q74" s="409">
        <v>0</v>
      </c>
      <c r="R74" s="409"/>
      <c r="S74" s="409"/>
      <c r="T74" s="409"/>
      <c r="U74" s="409"/>
      <c r="V74" s="409"/>
      <c r="W74" s="409"/>
      <c r="X74" s="409"/>
      <c r="Y74" s="409"/>
      <c r="Z74" s="409"/>
      <c r="AA74" s="409">
        <v>0</v>
      </c>
      <c r="AB74" s="409"/>
      <c r="AC74" s="409"/>
      <c r="AD74" s="409"/>
      <c r="AE74" s="409"/>
      <c r="AF74" s="409"/>
      <c r="AG74" s="409"/>
      <c r="AH74" s="409"/>
      <c r="AI74" s="409"/>
      <c r="AJ74" s="409"/>
      <c r="AK74" s="409"/>
      <c r="AL74" s="409"/>
      <c r="AM74" s="409"/>
      <c r="AN74" s="409"/>
      <c r="AO74" s="409"/>
      <c r="AP74" s="409"/>
      <c r="AQ74" s="409"/>
      <c r="AR74" s="409"/>
      <c r="AS74" s="409"/>
      <c r="AT74" s="409"/>
      <c r="AU74" s="409"/>
      <c r="AV74" s="409"/>
      <c r="AW74" s="409"/>
      <c r="AX74" s="409"/>
      <c r="AY74" s="409"/>
      <c r="AZ74" s="409">
        <v>0</v>
      </c>
      <c r="BA74" s="409"/>
      <c r="BB74" s="409"/>
      <c r="BC74" s="409"/>
      <c r="BD74" s="409"/>
      <c r="BE74" s="409"/>
      <c r="BF74" s="409"/>
      <c r="BG74" s="409"/>
      <c r="BH74" s="409"/>
      <c r="BI74" s="409">
        <v>0</v>
      </c>
      <c r="BJ74" s="409">
        <v>0</v>
      </c>
      <c r="BK74" s="409">
        <v>0</v>
      </c>
      <c r="BL74" s="409">
        <v>1</v>
      </c>
      <c r="BM74" s="409"/>
      <c r="BN74" s="409"/>
      <c r="BO74" s="409"/>
      <c r="BP74" s="409"/>
      <c r="BQ74" s="409"/>
      <c r="BR74" s="409"/>
      <c r="BS74" s="409"/>
      <c r="BT74" s="409"/>
      <c r="BU74" s="409"/>
      <c r="BV74" s="409"/>
      <c r="BW74" s="409"/>
      <c r="BX74" s="409"/>
      <c r="BY74" s="409"/>
      <c r="BZ74" s="409"/>
      <c r="CA74" s="409"/>
      <c r="CB74" s="409"/>
      <c r="CC74" s="409"/>
      <c r="CD74" s="409"/>
      <c r="CE74" s="409"/>
      <c r="CF74" s="409"/>
      <c r="CG74" s="409"/>
      <c r="CH74" s="409"/>
      <c r="CI74" s="409"/>
      <c r="CJ74" s="409">
        <v>-0.03</v>
      </c>
      <c r="CK74" s="409"/>
      <c r="CL74" s="409"/>
      <c r="CM74" s="409"/>
      <c r="CN74" s="409"/>
      <c r="CO74" s="409">
        <v>0</v>
      </c>
      <c r="CP74" s="409">
        <v>0</v>
      </c>
      <c r="CQ74" s="409">
        <v>31</v>
      </c>
      <c r="CR74" s="409"/>
      <c r="CS74" s="409"/>
      <c r="CT74" s="409"/>
      <c r="CU74" s="409"/>
      <c r="CV74" s="409"/>
      <c r="CW74" s="409"/>
      <c r="CX74" s="409"/>
      <c r="CY74" s="409"/>
      <c r="CZ74" s="409"/>
      <c r="DA74" s="409"/>
      <c r="DB74" s="409"/>
      <c r="DC74" s="409"/>
      <c r="DD74" s="409"/>
      <c r="DE74" s="409"/>
      <c r="DF74" s="409"/>
      <c r="DG74" s="409"/>
      <c r="DH74" s="409"/>
      <c r="DI74" s="409"/>
      <c r="DJ74" s="409"/>
      <c r="DK74" s="409">
        <v>0</v>
      </c>
      <c r="DL74" s="409"/>
      <c r="DM74" s="409"/>
      <c r="DN74" s="409"/>
      <c r="DO74" s="409"/>
      <c r="DP74" s="409"/>
      <c r="DQ74" s="409"/>
      <c r="DR74" s="409"/>
      <c r="DS74" s="409"/>
      <c r="DT74" s="409"/>
      <c r="DU74" s="409"/>
      <c r="DV74" s="409"/>
      <c r="DW74" s="409"/>
      <c r="DX74" s="409"/>
      <c r="DY74" s="409"/>
      <c r="DZ74" s="409"/>
      <c r="EA74" s="409"/>
      <c r="EB74" s="409"/>
      <c r="EC74" s="409"/>
      <c r="ED74" s="409"/>
      <c r="EE74" s="409"/>
      <c r="EF74" s="409"/>
      <c r="EG74" s="409"/>
      <c r="EH74" s="409"/>
      <c r="EI74" s="409"/>
      <c r="EJ74" s="409"/>
      <c r="EK74" s="409"/>
      <c r="EL74" s="409"/>
      <c r="EM74" s="409"/>
      <c r="EN74" s="409"/>
      <c r="EO74" s="409"/>
      <c r="EP74" s="409"/>
      <c r="EQ74" s="409"/>
      <c r="ER74" s="409"/>
      <c r="ES74" s="409"/>
      <c r="ET74" s="409"/>
      <c r="EU74" s="409"/>
      <c r="EV74" s="409">
        <v>254</v>
      </c>
      <c r="EW74" s="409"/>
      <c r="EX74" s="409"/>
      <c r="EY74" s="409"/>
      <c r="EZ74" s="409"/>
      <c r="FA74" s="409">
        <v>0</v>
      </c>
      <c r="FB74" s="409"/>
      <c r="FC74" s="409"/>
      <c r="FD74" s="409"/>
      <c r="FE74" s="409"/>
      <c r="FF74" s="409">
        <v>0</v>
      </c>
      <c r="FG74" s="409">
        <v>0</v>
      </c>
      <c r="FH74" s="409">
        <v>0</v>
      </c>
      <c r="FI74" s="409">
        <v>0</v>
      </c>
    </row>
    <row r="75" spans="1:165" customFormat="1">
      <c r="A75" s="409">
        <v>73</v>
      </c>
      <c r="B75" s="409" t="s">
        <v>1035</v>
      </c>
      <c r="C75" s="409" t="s">
        <v>2252</v>
      </c>
      <c r="D75" s="409" t="s">
        <v>1994</v>
      </c>
      <c r="E75" s="409" t="s">
        <v>997</v>
      </c>
      <c r="F75" s="409" t="s">
        <v>1323</v>
      </c>
      <c r="G75" s="409" t="s">
        <v>1323</v>
      </c>
      <c r="H75" s="409" t="s">
        <v>1323</v>
      </c>
      <c r="I75" s="409" t="s">
        <v>2253</v>
      </c>
      <c r="J75" s="409" t="s">
        <v>2245</v>
      </c>
      <c r="K75" s="835">
        <v>44378</v>
      </c>
      <c r="L75" s="409">
        <v>0</v>
      </c>
      <c r="M75" s="409">
        <v>0</v>
      </c>
      <c r="N75" s="409">
        <v>1.9E-2</v>
      </c>
      <c r="O75" s="409">
        <v>1.9E-2</v>
      </c>
      <c r="P75" s="409">
        <v>1.9E-2</v>
      </c>
      <c r="Q75" s="409">
        <v>1.9E-2</v>
      </c>
      <c r="R75" s="409"/>
      <c r="S75" s="409">
        <v>1097.8699999999999</v>
      </c>
      <c r="T75" s="409">
        <v>243.39</v>
      </c>
      <c r="U75" s="409"/>
      <c r="V75" s="409">
        <v>25.483939999999997</v>
      </c>
      <c r="W75" s="409">
        <v>25.483939999999997</v>
      </c>
      <c r="X75" s="409">
        <v>22.376869999999997</v>
      </c>
      <c r="Y75" s="409">
        <v>0</v>
      </c>
      <c r="Z75" s="409">
        <v>0.47278607183875437</v>
      </c>
      <c r="AA75" s="409">
        <v>0</v>
      </c>
      <c r="AB75" s="409">
        <v>0</v>
      </c>
      <c r="AC75" s="409">
        <v>0</v>
      </c>
      <c r="AD75" s="409">
        <v>4.3418905850658511</v>
      </c>
      <c r="AE75" s="409">
        <v>15.191930994496504</v>
      </c>
      <c r="AF75" s="409">
        <v>4.6243576512239013</v>
      </c>
      <c r="AG75" s="409">
        <v>0</v>
      </c>
      <c r="AH75" s="409">
        <v>0</v>
      </c>
      <c r="AI75" s="409">
        <v>0</v>
      </c>
      <c r="AJ75" s="409">
        <v>0</v>
      </c>
      <c r="AK75" s="409">
        <v>0</v>
      </c>
      <c r="AL75" s="409">
        <v>0.19302272568284698</v>
      </c>
      <c r="AM75" s="409"/>
      <c r="AN75" s="409">
        <v>3.2620556982986798E-2</v>
      </c>
      <c r="AO75" s="409">
        <v>0</v>
      </c>
      <c r="AP75" s="409">
        <v>0</v>
      </c>
      <c r="AQ75" s="409">
        <v>0</v>
      </c>
      <c r="AR75" s="409">
        <v>0</v>
      </c>
      <c r="AS75" s="409">
        <v>0</v>
      </c>
      <c r="AT75" s="409">
        <v>0</v>
      </c>
      <c r="AU75" s="409">
        <v>0</v>
      </c>
      <c r="AV75" s="409">
        <v>0</v>
      </c>
      <c r="AW75" s="409">
        <v>0</v>
      </c>
      <c r="AX75" s="409">
        <v>0</v>
      </c>
      <c r="AY75" s="409">
        <v>0</v>
      </c>
      <c r="AZ75" s="409">
        <v>0</v>
      </c>
      <c r="BA75" s="409"/>
      <c r="BB75" s="409">
        <v>0</v>
      </c>
      <c r="BC75" s="409">
        <v>0</v>
      </c>
      <c r="BD75" s="409">
        <v>0</v>
      </c>
      <c r="BE75" s="409">
        <v>0</v>
      </c>
      <c r="BF75" s="409">
        <v>0</v>
      </c>
      <c r="BG75" s="409">
        <v>0.62736725742483479</v>
      </c>
      <c r="BH75" s="409">
        <v>0</v>
      </c>
      <c r="BI75" s="409">
        <v>0</v>
      </c>
      <c r="BJ75" s="409">
        <v>0</v>
      </c>
      <c r="BK75" s="409">
        <v>0</v>
      </c>
      <c r="BL75" s="409">
        <v>0</v>
      </c>
      <c r="BM75" s="409"/>
      <c r="BN75" s="409"/>
      <c r="BO75" s="409"/>
      <c r="BP75" s="409"/>
      <c r="BQ75" s="409"/>
      <c r="BR75" s="409"/>
      <c r="BS75" s="409"/>
      <c r="BT75" s="409"/>
      <c r="BU75" s="409"/>
      <c r="BV75" s="409">
        <v>5.2517249086487361</v>
      </c>
      <c r="BW75" s="409"/>
      <c r="BX75" s="409"/>
      <c r="BY75" s="409"/>
      <c r="BZ75" s="409"/>
      <c r="CA75" s="409"/>
      <c r="CB75" s="409"/>
      <c r="CC75" s="409"/>
      <c r="CD75" s="409"/>
      <c r="CE75" s="409"/>
      <c r="CF75" s="409"/>
      <c r="CG75" s="409"/>
      <c r="CH75" s="409"/>
      <c r="CI75" s="409">
        <v>23.554600000000001</v>
      </c>
      <c r="CJ75" s="409">
        <v>-1.959340000000001</v>
      </c>
      <c r="CK75" s="409"/>
      <c r="CL75" s="409"/>
      <c r="CM75" s="409"/>
      <c r="CN75" s="409"/>
      <c r="CO75" s="409">
        <v>-3.2678099999999981</v>
      </c>
      <c r="CP75" s="409">
        <v>0.16074000000000016</v>
      </c>
      <c r="CQ75" s="409">
        <v>31</v>
      </c>
      <c r="CR75" s="409">
        <v>0.37534137176531068</v>
      </c>
      <c r="CS75" s="409">
        <v>0</v>
      </c>
      <c r="CT75" s="409">
        <v>0</v>
      </c>
      <c r="CU75" s="409">
        <v>0</v>
      </c>
      <c r="CV75" s="409">
        <v>0</v>
      </c>
      <c r="CW75" s="409">
        <v>0</v>
      </c>
      <c r="CX75" s="409">
        <v>0</v>
      </c>
      <c r="CY75" s="409">
        <v>0</v>
      </c>
      <c r="CZ75" s="409">
        <v>0.16278016235675441</v>
      </c>
      <c r="DA75" s="409">
        <v>0</v>
      </c>
      <c r="DB75" s="409">
        <v>0</v>
      </c>
      <c r="DC75" s="409">
        <v>0.21184139279331848</v>
      </c>
      <c r="DD75" s="409">
        <v>0</v>
      </c>
      <c r="DE75" s="409">
        <v>0</v>
      </c>
      <c r="DF75" s="409">
        <v>0</v>
      </c>
      <c r="DG75" s="409">
        <v>2.8739635562275545E-2</v>
      </c>
      <c r="DH75" s="409">
        <v>0</v>
      </c>
      <c r="DI75" s="409">
        <v>-3.4479724289132596E-3</v>
      </c>
      <c r="DJ75" s="409"/>
      <c r="DK75" s="409">
        <v>0</v>
      </c>
      <c r="DL75" s="409">
        <v>0</v>
      </c>
      <c r="DM75" s="409">
        <v>0</v>
      </c>
      <c r="DN75" s="409">
        <v>0</v>
      </c>
      <c r="DO75" s="409">
        <v>-1.0826552451747851E-3</v>
      </c>
      <c r="DP75" s="409">
        <v>-1.9214599487459676E-3</v>
      </c>
      <c r="DQ75" s="409">
        <v>0</v>
      </c>
      <c r="DR75" s="409">
        <v>-2.1567731324201651E-2</v>
      </c>
      <c r="DS75" s="409"/>
      <c r="DT75" s="409"/>
      <c r="DU75" s="409"/>
      <c r="DV75" s="409">
        <v>15.191930994496504</v>
      </c>
      <c r="DW75" s="409">
        <v>0</v>
      </c>
      <c r="DX75" s="409">
        <v>0</v>
      </c>
      <c r="DY75" s="409">
        <v>-3.2678099999999972</v>
      </c>
      <c r="DZ75" s="409">
        <v>0.16074000000000055</v>
      </c>
      <c r="EA75" s="409">
        <v>0</v>
      </c>
      <c r="EB75" s="409">
        <v>0</v>
      </c>
      <c r="EC75" s="409">
        <v>-3.4823478136942345</v>
      </c>
      <c r="ED75" s="409">
        <v>0</v>
      </c>
      <c r="EE75" s="409">
        <v>0</v>
      </c>
      <c r="EF75" s="409">
        <v>0</v>
      </c>
      <c r="EG75" s="409">
        <v>0</v>
      </c>
      <c r="EH75" s="409">
        <v>0</v>
      </c>
      <c r="EI75" s="409">
        <v>0</v>
      </c>
      <c r="EJ75" s="409">
        <v>0</v>
      </c>
      <c r="EK75" s="409">
        <v>0</v>
      </c>
      <c r="EL75" s="409">
        <v>0</v>
      </c>
      <c r="EM75" s="409">
        <v>0</v>
      </c>
      <c r="EN75" s="409">
        <v>0</v>
      </c>
      <c r="EO75" s="409">
        <v>0</v>
      </c>
      <c r="EP75" s="409">
        <v>0</v>
      </c>
      <c r="EQ75" s="409">
        <v>0</v>
      </c>
      <c r="ER75" s="409">
        <v>0</v>
      </c>
      <c r="ES75" s="409">
        <v>0</v>
      </c>
      <c r="ET75" s="409">
        <v>0</v>
      </c>
      <c r="EU75" s="409">
        <v>0</v>
      </c>
      <c r="EV75" s="409">
        <v>254</v>
      </c>
      <c r="EW75" s="409">
        <v>0</v>
      </c>
      <c r="EX75" s="409">
        <v>0</v>
      </c>
      <c r="EY75" s="409">
        <v>0</v>
      </c>
      <c r="EZ75" s="409"/>
      <c r="FA75" s="409">
        <v>0</v>
      </c>
      <c r="FB75" s="409"/>
      <c r="FC75" s="409"/>
      <c r="FD75" s="409"/>
      <c r="FE75" s="409"/>
      <c r="FF75" s="409">
        <v>0</v>
      </c>
      <c r="FG75" s="409">
        <v>0</v>
      </c>
      <c r="FH75" s="409">
        <v>0</v>
      </c>
      <c r="FI75" s="409">
        <v>0</v>
      </c>
    </row>
    <row r="76" spans="1:165" customFormat="1">
      <c r="A76" s="409">
        <v>74</v>
      </c>
      <c r="B76" s="409" t="s">
        <v>1035</v>
      </c>
      <c r="C76" s="409" t="s">
        <v>2244</v>
      </c>
      <c r="D76" s="409" t="s">
        <v>2254</v>
      </c>
      <c r="E76" s="409" t="s">
        <v>973</v>
      </c>
      <c r="F76" s="409" t="s">
        <v>1323</v>
      </c>
      <c r="G76" s="409" t="s">
        <v>1323</v>
      </c>
      <c r="H76" s="409" t="s">
        <v>1323</v>
      </c>
      <c r="I76" s="409" t="s">
        <v>1323</v>
      </c>
      <c r="J76" s="409" t="s">
        <v>2245</v>
      </c>
      <c r="K76" s="835">
        <v>44378</v>
      </c>
      <c r="L76" s="409">
        <v>0</v>
      </c>
      <c r="M76" s="409">
        <v>0</v>
      </c>
      <c r="N76" s="409">
        <v>182.971</v>
      </c>
      <c r="O76" s="409">
        <v>182.971</v>
      </c>
      <c r="P76" s="409">
        <v>182.971</v>
      </c>
      <c r="Q76" s="409">
        <v>182.971</v>
      </c>
      <c r="R76" s="409"/>
      <c r="S76" s="409">
        <v>597.01</v>
      </c>
      <c r="T76" s="409">
        <v>243.39</v>
      </c>
      <c r="U76" s="409"/>
      <c r="V76" s="409">
        <v>153768.8284</v>
      </c>
      <c r="W76" s="409">
        <v>153768.8284</v>
      </c>
      <c r="X76" s="409">
        <v>139292.16288000002</v>
      </c>
      <c r="Y76" s="409">
        <v>0</v>
      </c>
      <c r="Z76" s="409">
        <v>4552.9547552846707</v>
      </c>
      <c r="AA76" s="409">
        <v>0</v>
      </c>
      <c r="AB76" s="409">
        <v>0</v>
      </c>
      <c r="AC76" s="409">
        <v>0</v>
      </c>
      <c r="AD76" s="409">
        <v>21442.200523689618</v>
      </c>
      <c r="AE76" s="409">
        <v>75025.158914383792</v>
      </c>
      <c r="AF76" s="409">
        <v>44532.807568530974</v>
      </c>
      <c r="AG76" s="409">
        <v>0</v>
      </c>
      <c r="AH76" s="409">
        <v>0</v>
      </c>
      <c r="AI76" s="409">
        <v>0</v>
      </c>
      <c r="AJ76" s="409">
        <v>0</v>
      </c>
      <c r="AK76" s="409">
        <v>0</v>
      </c>
      <c r="AL76" s="409">
        <v>1858.8190074166419</v>
      </c>
      <c r="AM76" s="409"/>
      <c r="AN76" s="409">
        <v>314.13768061758304</v>
      </c>
      <c r="AO76" s="409">
        <v>0</v>
      </c>
      <c r="AP76" s="409">
        <v>0</v>
      </c>
      <c r="AQ76" s="409">
        <v>0</v>
      </c>
      <c r="AR76" s="409">
        <v>0</v>
      </c>
      <c r="AS76" s="409">
        <v>0</v>
      </c>
      <c r="AT76" s="409">
        <v>0</v>
      </c>
      <c r="AU76" s="409">
        <v>0</v>
      </c>
      <c r="AV76" s="409">
        <v>0</v>
      </c>
      <c r="AW76" s="409">
        <v>0</v>
      </c>
      <c r="AX76" s="409">
        <v>0</v>
      </c>
      <c r="AY76" s="409">
        <v>0</v>
      </c>
      <c r="AZ76" s="409">
        <v>0</v>
      </c>
      <c r="BA76" s="409"/>
      <c r="BB76" s="409">
        <v>0</v>
      </c>
      <c r="BC76" s="409">
        <v>0</v>
      </c>
      <c r="BD76" s="409">
        <v>0</v>
      </c>
      <c r="BE76" s="409">
        <v>0</v>
      </c>
      <c r="BF76" s="409">
        <v>0</v>
      </c>
      <c r="BG76" s="409">
        <v>6041.5797083304969</v>
      </c>
      <c r="BH76" s="409">
        <v>0</v>
      </c>
      <c r="BI76" s="409">
        <v>100.66</v>
      </c>
      <c r="BJ76" s="409">
        <v>465.28</v>
      </c>
      <c r="BK76" s="409">
        <v>0</v>
      </c>
      <c r="BL76" s="409">
        <v>1807</v>
      </c>
      <c r="BM76" s="409"/>
      <c r="BN76" s="409"/>
      <c r="BO76" s="409"/>
      <c r="BP76" s="409"/>
      <c r="BQ76" s="409"/>
      <c r="BR76" s="409">
        <v>16716.230559999996</v>
      </c>
      <c r="BS76" s="409"/>
      <c r="BT76" s="409"/>
      <c r="BU76" s="409"/>
      <c r="BV76" s="409">
        <v>50574.387276861467</v>
      </c>
      <c r="BW76" s="409"/>
      <c r="BX76" s="409"/>
      <c r="BY76" s="409"/>
      <c r="BZ76" s="409"/>
      <c r="CA76" s="409"/>
      <c r="CB76" s="409"/>
      <c r="CC76" s="409"/>
      <c r="CD76" s="409"/>
      <c r="CE76" s="409"/>
      <c r="CF76" s="409"/>
      <c r="CG76" s="409"/>
      <c r="CH76" s="409"/>
      <c r="CI76" s="409">
        <v>122575.26240000001</v>
      </c>
      <c r="CJ76" s="409">
        <v>-12740.970650000003</v>
      </c>
      <c r="CK76" s="409"/>
      <c r="CL76" s="409"/>
      <c r="CM76" s="409"/>
      <c r="CN76" s="409"/>
      <c r="CO76" s="409">
        <v>-16024.600179999998</v>
      </c>
      <c r="CP76" s="409">
        <v>1547.9346600000015</v>
      </c>
      <c r="CQ76" s="409">
        <v>31</v>
      </c>
      <c r="CR76" s="409">
        <v>2721.4782701186923</v>
      </c>
      <c r="CS76" s="409">
        <v>0</v>
      </c>
      <c r="CT76" s="409">
        <v>0</v>
      </c>
      <c r="CU76" s="409">
        <v>0</v>
      </c>
      <c r="CV76" s="409">
        <v>0</v>
      </c>
      <c r="CW76" s="409">
        <v>0</v>
      </c>
      <c r="CX76" s="409">
        <v>0</v>
      </c>
      <c r="CY76" s="409">
        <v>0</v>
      </c>
      <c r="CZ76" s="409">
        <v>803.88135402073385</v>
      </c>
      <c r="DA76" s="409">
        <v>0</v>
      </c>
      <c r="DB76" s="409">
        <v>0</v>
      </c>
      <c r="DC76" s="409">
        <v>2040.0437621466481</v>
      </c>
      <c r="DD76" s="409">
        <v>0</v>
      </c>
      <c r="DE76" s="409">
        <v>0</v>
      </c>
      <c r="DF76" s="409">
        <v>0</v>
      </c>
      <c r="DG76" s="409">
        <v>276.76420307711214</v>
      </c>
      <c r="DH76" s="409">
        <v>0</v>
      </c>
      <c r="DI76" s="409">
        <v>-33.204155962668665</v>
      </c>
      <c r="DJ76" s="409"/>
      <c r="DK76" s="409">
        <v>0</v>
      </c>
      <c r="DL76" s="409">
        <v>0</v>
      </c>
      <c r="DM76" s="409">
        <v>0</v>
      </c>
      <c r="DN76" s="409">
        <v>0</v>
      </c>
      <c r="DO76" s="409">
        <v>-10.426026992888183</v>
      </c>
      <c r="DP76" s="409">
        <v>-18.503760435894662</v>
      </c>
      <c r="DQ76" s="409">
        <v>0</v>
      </c>
      <c r="DR76" s="409">
        <v>-337.07710573433098</v>
      </c>
      <c r="DS76" s="409"/>
      <c r="DT76" s="409"/>
      <c r="DU76" s="409"/>
      <c r="DV76" s="409">
        <v>75025.158914383792</v>
      </c>
      <c r="DW76" s="409">
        <v>0</v>
      </c>
      <c r="DX76" s="409">
        <v>0</v>
      </c>
      <c r="DY76" s="409">
        <v>-16024.600179999994</v>
      </c>
      <c r="DZ76" s="409">
        <v>1547.9346600000063</v>
      </c>
      <c r="EA76" s="409">
        <v>0</v>
      </c>
      <c r="EB76" s="409">
        <v>0</v>
      </c>
      <c r="EC76" s="409">
        <v>-17197.530597803103</v>
      </c>
      <c r="ED76" s="409">
        <v>0</v>
      </c>
      <c r="EE76" s="409">
        <v>0</v>
      </c>
      <c r="EF76" s="409">
        <v>0</v>
      </c>
      <c r="EG76" s="409">
        <v>0</v>
      </c>
      <c r="EH76" s="409">
        <v>0</v>
      </c>
      <c r="EI76" s="409">
        <v>0</v>
      </c>
      <c r="EJ76" s="409">
        <v>0</v>
      </c>
      <c r="EK76" s="409">
        <v>0</v>
      </c>
      <c r="EL76" s="409">
        <v>0</v>
      </c>
      <c r="EM76" s="409">
        <v>0</v>
      </c>
      <c r="EN76" s="409">
        <v>0</v>
      </c>
      <c r="EO76" s="409">
        <v>0</v>
      </c>
      <c r="EP76" s="409">
        <v>0</v>
      </c>
      <c r="EQ76" s="409">
        <v>0</v>
      </c>
      <c r="ER76" s="409">
        <v>0</v>
      </c>
      <c r="ES76" s="409">
        <v>0</v>
      </c>
      <c r="ET76" s="409">
        <v>0</v>
      </c>
      <c r="EU76" s="409">
        <v>0</v>
      </c>
      <c r="EV76" s="409">
        <v>254</v>
      </c>
      <c r="EW76" s="409">
        <v>0</v>
      </c>
      <c r="EX76" s="409">
        <v>0</v>
      </c>
      <c r="EY76" s="409">
        <v>0</v>
      </c>
      <c r="EZ76" s="409"/>
      <c r="FA76" s="409">
        <v>0</v>
      </c>
      <c r="FB76" s="409"/>
      <c r="FC76" s="409"/>
      <c r="FD76" s="409"/>
      <c r="FE76" s="409"/>
      <c r="FF76" s="409">
        <v>0</v>
      </c>
      <c r="FG76" s="409">
        <v>0</v>
      </c>
      <c r="FH76" s="409">
        <v>0</v>
      </c>
      <c r="FI76" s="409">
        <v>0</v>
      </c>
    </row>
    <row r="77" spans="1:165" customFormat="1">
      <c r="A77" s="409">
        <v>75</v>
      </c>
      <c r="B77" s="409" t="s">
        <v>2246</v>
      </c>
      <c r="C77" s="409" t="s">
        <v>2244</v>
      </c>
      <c r="D77" s="409" t="s">
        <v>2254</v>
      </c>
      <c r="E77" s="409" t="s">
        <v>973</v>
      </c>
      <c r="F77" s="409" t="s">
        <v>1323</v>
      </c>
      <c r="G77" s="409" t="s">
        <v>1323</v>
      </c>
      <c r="H77" s="409" t="s">
        <v>1323</v>
      </c>
      <c r="I77" s="409" t="s">
        <v>1323</v>
      </c>
      <c r="J77" s="409" t="s">
        <v>2245</v>
      </c>
      <c r="K77" s="835">
        <v>44378</v>
      </c>
      <c r="L77" s="409">
        <v>0</v>
      </c>
      <c r="M77" s="409">
        <v>0</v>
      </c>
      <c r="N77" s="409">
        <v>1.875</v>
      </c>
      <c r="O77" s="409">
        <v>1.875</v>
      </c>
      <c r="P77" s="409">
        <v>1.875</v>
      </c>
      <c r="Q77" s="409">
        <v>1.875</v>
      </c>
      <c r="R77" s="409"/>
      <c r="S77" s="409">
        <v>597.01</v>
      </c>
      <c r="T77" s="409">
        <v>243.39</v>
      </c>
      <c r="U77" s="409"/>
      <c r="V77" s="409">
        <v>1575.75</v>
      </c>
      <c r="W77" s="409">
        <v>1575.75</v>
      </c>
      <c r="X77" s="409">
        <v>1427.4</v>
      </c>
      <c r="Y77" s="409">
        <v>0</v>
      </c>
      <c r="Z77" s="409">
        <v>46.656520247245503</v>
      </c>
      <c r="AA77" s="409">
        <v>0</v>
      </c>
      <c r="AB77" s="409">
        <v>0</v>
      </c>
      <c r="AC77" s="409">
        <v>0</v>
      </c>
      <c r="AD77" s="409">
        <v>219.72949801836376</v>
      </c>
      <c r="AE77" s="409">
        <v>768.82223393034747</v>
      </c>
      <c r="AF77" s="409">
        <v>456.35108400235873</v>
      </c>
      <c r="AG77" s="409">
        <v>0</v>
      </c>
      <c r="AH77" s="409">
        <v>0</v>
      </c>
      <c r="AI77" s="409">
        <v>0</v>
      </c>
      <c r="AJ77" s="409">
        <v>0</v>
      </c>
      <c r="AK77" s="409">
        <v>0</v>
      </c>
      <c r="AL77" s="409">
        <v>19.048295297649375</v>
      </c>
      <c r="AM77" s="409"/>
      <c r="AN77" s="409">
        <v>3.2191339127947498</v>
      </c>
      <c r="AO77" s="409">
        <v>0</v>
      </c>
      <c r="AP77" s="409">
        <v>0</v>
      </c>
      <c r="AQ77" s="409">
        <v>0</v>
      </c>
      <c r="AR77" s="409">
        <v>0</v>
      </c>
      <c r="AS77" s="409">
        <v>0</v>
      </c>
      <c r="AT77" s="409">
        <v>0</v>
      </c>
      <c r="AU77" s="409">
        <v>0</v>
      </c>
      <c r="AV77" s="409">
        <v>0</v>
      </c>
      <c r="AW77" s="409">
        <v>0</v>
      </c>
      <c r="AX77" s="409">
        <v>0</v>
      </c>
      <c r="AY77" s="409">
        <v>0</v>
      </c>
      <c r="AZ77" s="409">
        <v>0</v>
      </c>
      <c r="BA77" s="409"/>
      <c r="BB77" s="409">
        <v>0</v>
      </c>
      <c r="BC77" s="409">
        <v>0</v>
      </c>
      <c r="BD77" s="409">
        <v>0</v>
      </c>
      <c r="BE77" s="409">
        <v>0</v>
      </c>
      <c r="BF77" s="409">
        <v>0</v>
      </c>
      <c r="BG77" s="409">
        <v>61.911242509029748</v>
      </c>
      <c r="BH77" s="409">
        <v>0</v>
      </c>
      <c r="BI77" s="409">
        <v>0</v>
      </c>
      <c r="BJ77" s="409">
        <v>0</v>
      </c>
      <c r="BK77" s="409">
        <v>0</v>
      </c>
      <c r="BL77" s="409">
        <v>6</v>
      </c>
      <c r="BM77" s="409"/>
      <c r="BN77" s="409"/>
      <c r="BO77" s="409"/>
      <c r="BP77" s="409"/>
      <c r="BQ77" s="409"/>
      <c r="BR77" s="409">
        <v>171.29999999999995</v>
      </c>
      <c r="BS77" s="409"/>
      <c r="BT77" s="409"/>
      <c r="BU77" s="409"/>
      <c r="BV77" s="409">
        <v>518.26232651138844</v>
      </c>
      <c r="BW77" s="409"/>
      <c r="BX77" s="409"/>
      <c r="BY77" s="409"/>
      <c r="BZ77" s="409"/>
      <c r="CA77" s="409"/>
      <c r="CB77" s="409"/>
      <c r="CC77" s="409"/>
      <c r="CD77" s="409"/>
      <c r="CE77" s="409"/>
      <c r="CF77" s="409"/>
      <c r="CG77" s="409"/>
      <c r="CH77" s="409"/>
      <c r="CI77" s="409">
        <v>1259.4495999999999</v>
      </c>
      <c r="CJ77" s="409">
        <v>-127.23665000000005</v>
      </c>
      <c r="CK77" s="409"/>
      <c r="CL77" s="409"/>
      <c r="CM77" s="409"/>
      <c r="CN77" s="409"/>
      <c r="CO77" s="409">
        <v>-164.21249999999998</v>
      </c>
      <c r="CP77" s="409">
        <v>15.862500000000015</v>
      </c>
      <c r="CQ77" s="409">
        <v>31</v>
      </c>
      <c r="CR77" s="409">
        <v>27.888418145348624</v>
      </c>
      <c r="CS77" s="409">
        <v>0</v>
      </c>
      <c r="CT77" s="409">
        <v>0</v>
      </c>
      <c r="CU77" s="409">
        <v>0</v>
      </c>
      <c r="CV77" s="409">
        <v>0</v>
      </c>
      <c r="CW77" s="409">
        <v>0</v>
      </c>
      <c r="CX77" s="409">
        <v>0</v>
      </c>
      <c r="CY77" s="409">
        <v>0</v>
      </c>
      <c r="CZ77" s="409">
        <v>8.2377947258793824</v>
      </c>
      <c r="DA77" s="409">
        <v>0</v>
      </c>
      <c r="DB77" s="409">
        <v>0</v>
      </c>
      <c r="DC77" s="409">
        <v>20.905400604603756</v>
      </c>
      <c r="DD77" s="409">
        <v>0</v>
      </c>
      <c r="DE77" s="409">
        <v>0</v>
      </c>
      <c r="DF77" s="409">
        <v>0</v>
      </c>
      <c r="DG77" s="409">
        <v>2.8361482462771903</v>
      </c>
      <c r="DH77" s="409">
        <v>0</v>
      </c>
      <c r="DI77" s="409">
        <v>-0.34026043706381159</v>
      </c>
      <c r="DJ77" s="409"/>
      <c r="DK77" s="409">
        <v>0</v>
      </c>
      <c r="DL77" s="409">
        <v>0</v>
      </c>
      <c r="DM77" s="409">
        <v>0</v>
      </c>
      <c r="DN77" s="409">
        <v>0</v>
      </c>
      <c r="DO77" s="409">
        <v>-0.10684097814225169</v>
      </c>
      <c r="DP77" s="409">
        <v>-0.18961775809993098</v>
      </c>
      <c r="DQ77" s="409">
        <v>0</v>
      </c>
      <c r="DR77" s="409">
        <v>-3.4542062581057689</v>
      </c>
      <c r="DS77" s="409"/>
      <c r="DT77" s="409"/>
      <c r="DU77" s="409"/>
      <c r="DV77" s="409">
        <v>768.82223393034747</v>
      </c>
      <c r="DW77" s="409">
        <v>0</v>
      </c>
      <c r="DX77" s="409">
        <v>0</v>
      </c>
      <c r="DY77" s="409">
        <v>-164.21249999999998</v>
      </c>
      <c r="DZ77" s="409">
        <v>15.862500000000011</v>
      </c>
      <c r="EA77" s="409">
        <v>0</v>
      </c>
      <c r="EB77" s="409">
        <v>0</v>
      </c>
      <c r="EC77" s="409">
        <v>-176.23213444141868</v>
      </c>
      <c r="ED77" s="409">
        <v>0</v>
      </c>
      <c r="EE77" s="409">
        <v>0</v>
      </c>
      <c r="EF77" s="409">
        <v>0</v>
      </c>
      <c r="EG77" s="409">
        <v>0</v>
      </c>
      <c r="EH77" s="409">
        <v>0</v>
      </c>
      <c r="EI77" s="409">
        <v>0</v>
      </c>
      <c r="EJ77" s="409">
        <v>0</v>
      </c>
      <c r="EK77" s="409">
        <v>0</v>
      </c>
      <c r="EL77" s="409">
        <v>0</v>
      </c>
      <c r="EM77" s="409">
        <v>0</v>
      </c>
      <c r="EN77" s="409">
        <v>0</v>
      </c>
      <c r="EO77" s="409">
        <v>0</v>
      </c>
      <c r="EP77" s="409">
        <v>0</v>
      </c>
      <c r="EQ77" s="409">
        <v>0</v>
      </c>
      <c r="ER77" s="409">
        <v>0</v>
      </c>
      <c r="ES77" s="409">
        <v>0</v>
      </c>
      <c r="ET77" s="409">
        <v>0</v>
      </c>
      <c r="EU77" s="409">
        <v>0</v>
      </c>
      <c r="EV77" s="409">
        <v>254</v>
      </c>
      <c r="EW77" s="409">
        <v>0</v>
      </c>
      <c r="EX77" s="409">
        <v>0</v>
      </c>
      <c r="EY77" s="409">
        <v>0</v>
      </c>
      <c r="EZ77" s="409"/>
      <c r="FA77" s="409">
        <v>0</v>
      </c>
      <c r="FB77" s="409"/>
      <c r="FC77" s="409"/>
      <c r="FD77" s="409"/>
      <c r="FE77" s="409"/>
      <c r="FF77" s="409">
        <v>0</v>
      </c>
      <c r="FG77" s="409">
        <v>0</v>
      </c>
      <c r="FH77" s="409">
        <v>0</v>
      </c>
      <c r="FI77" s="409">
        <v>0</v>
      </c>
    </row>
    <row r="78" spans="1:165" customFormat="1">
      <c r="A78" s="409">
        <v>76</v>
      </c>
      <c r="B78" s="409" t="s">
        <v>1035</v>
      </c>
      <c r="C78" s="409" t="s">
        <v>2252</v>
      </c>
      <c r="D78" s="409" t="s">
        <v>2254</v>
      </c>
      <c r="E78" s="409" t="s">
        <v>973</v>
      </c>
      <c r="F78" s="409" t="s">
        <v>1323</v>
      </c>
      <c r="G78" s="409" t="s">
        <v>1323</v>
      </c>
      <c r="H78" s="409" t="s">
        <v>1323</v>
      </c>
      <c r="I78" s="409" t="s">
        <v>972</v>
      </c>
      <c r="J78" s="409" t="s">
        <v>2245</v>
      </c>
      <c r="K78" s="835">
        <v>44378</v>
      </c>
      <c r="L78" s="409">
        <v>0</v>
      </c>
      <c r="M78" s="409">
        <v>0</v>
      </c>
      <c r="N78" s="409">
        <v>2.9000000000000001E-2</v>
      </c>
      <c r="O78" s="409">
        <v>2.9000000000000001E-2</v>
      </c>
      <c r="P78" s="409">
        <v>2.9000000000000001E-2</v>
      </c>
      <c r="Q78" s="409">
        <v>2.9000000000000001E-2</v>
      </c>
      <c r="R78" s="409"/>
      <c r="S78" s="409">
        <v>1298.56</v>
      </c>
      <c r="T78" s="409">
        <v>214.18</v>
      </c>
      <c r="U78" s="409"/>
      <c r="V78" s="409">
        <v>43.869460000000004</v>
      </c>
      <c r="W78" s="409">
        <v>43.869460000000004</v>
      </c>
      <c r="X78" s="409">
        <v>38.071490000000004</v>
      </c>
      <c r="Y78" s="409">
        <v>0</v>
      </c>
      <c r="Z78" s="409">
        <v>0.63502634491184318</v>
      </c>
      <c r="AA78" s="409">
        <v>0</v>
      </c>
      <c r="AB78" s="409">
        <v>0</v>
      </c>
      <c r="AC78" s="409">
        <v>0</v>
      </c>
      <c r="AD78" s="409">
        <v>7.974657968093541</v>
      </c>
      <c r="AE78" s="409">
        <v>27.902808653871141</v>
      </c>
      <c r="AF78" s="409">
        <v>6.2112424873281027</v>
      </c>
      <c r="AG78" s="409">
        <v>0</v>
      </c>
      <c r="AH78" s="409">
        <v>0</v>
      </c>
      <c r="AI78" s="409">
        <v>0</v>
      </c>
      <c r="AJ78" s="409">
        <v>0</v>
      </c>
      <c r="AK78" s="409">
        <v>0</v>
      </c>
      <c r="AL78" s="409">
        <v>0.25925999786453952</v>
      </c>
      <c r="AM78" s="409"/>
      <c r="AN78" s="409">
        <v>4.3814558642411863E-2</v>
      </c>
      <c r="AO78" s="409">
        <v>0</v>
      </c>
      <c r="AP78" s="409">
        <v>0</v>
      </c>
      <c r="AQ78" s="409">
        <v>0</v>
      </c>
      <c r="AR78" s="409">
        <v>0</v>
      </c>
      <c r="AS78" s="409">
        <v>0</v>
      </c>
      <c r="AT78" s="409">
        <v>0</v>
      </c>
      <c r="AU78" s="409">
        <v>0</v>
      </c>
      <c r="AV78" s="409">
        <v>0</v>
      </c>
      <c r="AW78" s="409">
        <v>0</v>
      </c>
      <c r="AX78" s="409">
        <v>0</v>
      </c>
      <c r="AY78" s="409">
        <v>0</v>
      </c>
      <c r="AZ78" s="409">
        <v>0</v>
      </c>
      <c r="BA78" s="409"/>
      <c r="BB78" s="409">
        <v>0</v>
      </c>
      <c r="BC78" s="409">
        <v>0</v>
      </c>
      <c r="BD78" s="409">
        <v>0</v>
      </c>
      <c r="BE78" s="409">
        <v>0</v>
      </c>
      <c r="BF78" s="409">
        <v>0</v>
      </c>
      <c r="BG78" s="409">
        <v>0.84265328470956768</v>
      </c>
      <c r="BH78" s="409">
        <v>0</v>
      </c>
      <c r="BI78" s="409">
        <v>0</v>
      </c>
      <c r="BJ78" s="409">
        <v>0</v>
      </c>
      <c r="BK78" s="409">
        <v>0</v>
      </c>
      <c r="BL78" s="409">
        <v>0</v>
      </c>
      <c r="BM78" s="409"/>
      <c r="BN78" s="409"/>
      <c r="BO78" s="409"/>
      <c r="BP78" s="409"/>
      <c r="BQ78" s="409"/>
      <c r="BR78" s="409"/>
      <c r="BS78" s="409"/>
      <c r="BT78" s="409"/>
      <c r="BU78" s="409"/>
      <c r="BV78" s="409">
        <v>7.05389577203767</v>
      </c>
      <c r="BW78" s="409"/>
      <c r="BX78" s="409"/>
      <c r="BY78" s="409"/>
      <c r="BZ78" s="409"/>
      <c r="CA78" s="409"/>
      <c r="CB78" s="409"/>
      <c r="CC78" s="409"/>
      <c r="CD78" s="409"/>
      <c r="CE78" s="409"/>
      <c r="CF78" s="409"/>
      <c r="CG78" s="409"/>
      <c r="CH78" s="409"/>
      <c r="CI78" s="409">
        <v>39.384299999999996</v>
      </c>
      <c r="CJ78" s="409">
        <v>-4.5151600000000016</v>
      </c>
      <c r="CK78" s="409"/>
      <c r="CL78" s="409"/>
      <c r="CM78" s="409"/>
      <c r="CN78" s="409"/>
      <c r="CO78" s="409">
        <v>-6.0140199999999968</v>
      </c>
      <c r="CP78" s="409">
        <v>0.21604999999999969</v>
      </c>
      <c r="CQ78" s="409">
        <v>31</v>
      </c>
      <c r="CR78" s="409">
        <v>0.59808801997200156</v>
      </c>
      <c r="CS78" s="409">
        <v>0</v>
      </c>
      <c r="CT78" s="409">
        <v>0</v>
      </c>
      <c r="CU78" s="409">
        <v>0</v>
      </c>
      <c r="CV78" s="409">
        <v>0</v>
      </c>
      <c r="CW78" s="409">
        <v>0</v>
      </c>
      <c r="CX78" s="409">
        <v>0</v>
      </c>
      <c r="CY78" s="409">
        <v>0</v>
      </c>
      <c r="CZ78" s="409">
        <v>0.29897485746205188</v>
      </c>
      <c r="DA78" s="409">
        <v>0</v>
      </c>
      <c r="DB78" s="409">
        <v>0</v>
      </c>
      <c r="DC78" s="409">
        <v>0.28453643916238391</v>
      </c>
      <c r="DD78" s="409">
        <v>0</v>
      </c>
      <c r="DE78" s="409">
        <v>0</v>
      </c>
      <c r="DF78" s="409">
        <v>0</v>
      </c>
      <c r="DG78" s="409">
        <v>3.8601868397331263E-2</v>
      </c>
      <c r="DH78" s="409">
        <v>0</v>
      </c>
      <c r="DI78" s="409">
        <v>-4.6311713887294825E-3</v>
      </c>
      <c r="DJ78" s="409"/>
      <c r="DK78" s="409">
        <v>0</v>
      </c>
      <c r="DL78" s="409">
        <v>0</v>
      </c>
      <c r="DM78" s="409">
        <v>0</v>
      </c>
      <c r="DN78" s="409">
        <v>0</v>
      </c>
      <c r="DO78" s="409">
        <v>-1.4541769398334625E-3</v>
      </c>
      <c r="DP78" s="409">
        <v>-2.5808240995789586E-3</v>
      </c>
      <c r="DQ78" s="409">
        <v>0</v>
      </c>
      <c r="DR78" s="409">
        <v>-1.5358972621622224E-2</v>
      </c>
      <c r="DS78" s="409"/>
      <c r="DT78" s="409"/>
      <c r="DU78" s="409"/>
      <c r="DV78" s="409">
        <v>27.902808653871141</v>
      </c>
      <c r="DW78" s="409">
        <v>0</v>
      </c>
      <c r="DX78" s="409">
        <v>0</v>
      </c>
      <c r="DY78" s="409">
        <v>-6.014019999999995</v>
      </c>
      <c r="DZ78" s="409">
        <v>0.21604999999999919</v>
      </c>
      <c r="EA78" s="409">
        <v>0</v>
      </c>
      <c r="EB78" s="409">
        <v>0</v>
      </c>
      <c r="EC78" s="409">
        <v>-6.395979862397791</v>
      </c>
      <c r="ED78" s="409">
        <v>0</v>
      </c>
      <c r="EE78" s="409">
        <v>0</v>
      </c>
      <c r="EF78" s="409">
        <v>0</v>
      </c>
      <c r="EG78" s="409">
        <v>0</v>
      </c>
      <c r="EH78" s="409">
        <v>0</v>
      </c>
      <c r="EI78" s="409">
        <v>0</v>
      </c>
      <c r="EJ78" s="409">
        <v>0</v>
      </c>
      <c r="EK78" s="409">
        <v>0</v>
      </c>
      <c r="EL78" s="409">
        <v>0</v>
      </c>
      <c r="EM78" s="409">
        <v>0</v>
      </c>
      <c r="EN78" s="409">
        <v>0</v>
      </c>
      <c r="EO78" s="409">
        <v>0</v>
      </c>
      <c r="EP78" s="409">
        <v>0</v>
      </c>
      <c r="EQ78" s="409">
        <v>0</v>
      </c>
      <c r="ER78" s="409">
        <v>0</v>
      </c>
      <c r="ES78" s="409">
        <v>0</v>
      </c>
      <c r="ET78" s="409">
        <v>0</v>
      </c>
      <c r="EU78" s="409">
        <v>0</v>
      </c>
      <c r="EV78" s="409">
        <v>254</v>
      </c>
      <c r="EW78" s="409">
        <v>0</v>
      </c>
      <c r="EX78" s="409">
        <v>0</v>
      </c>
      <c r="EY78" s="409">
        <v>0</v>
      </c>
      <c r="EZ78" s="409"/>
      <c r="FA78" s="409">
        <v>0</v>
      </c>
      <c r="FB78" s="409"/>
      <c r="FC78" s="409"/>
      <c r="FD78" s="409"/>
      <c r="FE78" s="409"/>
      <c r="FF78" s="409">
        <v>0</v>
      </c>
      <c r="FG78" s="409">
        <v>0</v>
      </c>
      <c r="FH78" s="409">
        <v>0</v>
      </c>
      <c r="FI78" s="409">
        <v>0</v>
      </c>
    </row>
    <row r="79" spans="1:165" customFormat="1">
      <c r="A79" s="409">
        <v>77</v>
      </c>
      <c r="B79" s="409" t="s">
        <v>1035</v>
      </c>
      <c r="C79" s="409" t="s">
        <v>2252</v>
      </c>
      <c r="D79" s="409" t="s">
        <v>2254</v>
      </c>
      <c r="E79" s="409" t="s">
        <v>973</v>
      </c>
      <c r="F79" s="409" t="s">
        <v>1323</v>
      </c>
      <c r="G79" s="409" t="s">
        <v>1323</v>
      </c>
      <c r="H79" s="409" t="s">
        <v>1323</v>
      </c>
      <c r="I79" s="409" t="s">
        <v>2237</v>
      </c>
      <c r="J79" s="409" t="s">
        <v>2245</v>
      </c>
      <c r="K79" s="835">
        <v>44378</v>
      </c>
      <c r="L79" s="409">
        <v>0</v>
      </c>
      <c r="M79" s="409">
        <v>0</v>
      </c>
      <c r="N79" s="409">
        <v>0.41899999999999998</v>
      </c>
      <c r="O79" s="409">
        <v>0.41899999999999998</v>
      </c>
      <c r="P79" s="409">
        <v>0.41899999999999998</v>
      </c>
      <c r="Q79" s="409">
        <v>0.41899999999999998</v>
      </c>
      <c r="R79" s="409"/>
      <c r="S79" s="409">
        <v>308.83999999999997</v>
      </c>
      <c r="T79" s="409">
        <v>214.18</v>
      </c>
      <c r="U79" s="409"/>
      <c r="V79" s="409">
        <v>219.14537999999999</v>
      </c>
      <c r="W79" s="409">
        <v>219.14537999999999</v>
      </c>
      <c r="X79" s="409">
        <v>205.26390999999998</v>
      </c>
      <c r="Y79" s="409">
        <v>0</v>
      </c>
      <c r="Z79" s="409">
        <v>9.175035810967664</v>
      </c>
      <c r="AA79" s="409">
        <v>0</v>
      </c>
      <c r="AB79" s="409">
        <v>0</v>
      </c>
      <c r="AC79" s="409">
        <v>0</v>
      </c>
      <c r="AD79" s="409">
        <v>23.044668289816304</v>
      </c>
      <c r="AE79" s="409">
        <v>80.629536837873843</v>
      </c>
      <c r="AF79" s="409">
        <v>89.741744903119823</v>
      </c>
      <c r="AG79" s="409">
        <v>0</v>
      </c>
      <c r="AH79" s="409">
        <v>0</v>
      </c>
      <c r="AI79" s="409">
        <v>0</v>
      </c>
      <c r="AJ79" s="409">
        <v>0</v>
      </c>
      <c r="AK79" s="409">
        <v>0</v>
      </c>
      <c r="AL79" s="409">
        <v>3.7458599691462773</v>
      </c>
      <c r="AM79" s="409"/>
      <c r="AN79" s="409">
        <v>0.63304483004036449</v>
      </c>
      <c r="AO79" s="409">
        <v>0</v>
      </c>
      <c r="AP79" s="409">
        <v>0</v>
      </c>
      <c r="AQ79" s="409">
        <v>0</v>
      </c>
      <c r="AR79" s="409">
        <v>0</v>
      </c>
      <c r="AS79" s="409">
        <v>0</v>
      </c>
      <c r="AT79" s="409">
        <v>0</v>
      </c>
      <c r="AU79" s="409">
        <v>0</v>
      </c>
      <c r="AV79" s="409">
        <v>0</v>
      </c>
      <c r="AW79" s="409">
        <v>0</v>
      </c>
      <c r="AX79" s="409">
        <v>0</v>
      </c>
      <c r="AY79" s="409">
        <v>0</v>
      </c>
      <c r="AZ79" s="409">
        <v>0</v>
      </c>
      <c r="BA79" s="409"/>
      <c r="BB79" s="409">
        <v>0</v>
      </c>
      <c r="BC79" s="409">
        <v>0</v>
      </c>
      <c r="BD79" s="409">
        <v>0</v>
      </c>
      <c r="BE79" s="409">
        <v>0</v>
      </c>
      <c r="BF79" s="409">
        <v>0</v>
      </c>
      <c r="BG79" s="409">
        <v>12.174887113562374</v>
      </c>
      <c r="BH79" s="409">
        <v>0</v>
      </c>
      <c r="BI79" s="409">
        <v>0</v>
      </c>
      <c r="BJ79" s="409">
        <v>0</v>
      </c>
      <c r="BK79" s="409">
        <v>0</v>
      </c>
      <c r="BL79" s="409">
        <v>0</v>
      </c>
      <c r="BM79" s="409"/>
      <c r="BN79" s="409"/>
      <c r="BO79" s="409"/>
      <c r="BP79" s="409"/>
      <c r="BQ79" s="409"/>
      <c r="BR79" s="409"/>
      <c r="BS79" s="409"/>
      <c r="BT79" s="409"/>
      <c r="BU79" s="409"/>
      <c r="BV79" s="409">
        <v>101.9166320166822</v>
      </c>
      <c r="BW79" s="409"/>
      <c r="BX79" s="409"/>
      <c r="BY79" s="409"/>
      <c r="BZ79" s="409"/>
      <c r="CA79" s="409"/>
      <c r="CB79" s="409"/>
      <c r="CC79" s="409"/>
      <c r="CD79" s="409"/>
      <c r="CE79" s="409"/>
      <c r="CF79" s="409"/>
      <c r="CG79" s="409"/>
      <c r="CH79" s="409"/>
      <c r="CI79" s="409">
        <v>205.75379999999998</v>
      </c>
      <c r="CJ79" s="409">
        <v>-13.421579999999977</v>
      </c>
      <c r="CK79" s="409"/>
      <c r="CL79" s="409"/>
      <c r="CM79" s="409"/>
      <c r="CN79" s="409"/>
      <c r="CO79" s="409">
        <v>-17.003019999999992</v>
      </c>
      <c r="CP79" s="409">
        <v>3.1215499999999952</v>
      </c>
      <c r="CQ79" s="409">
        <v>31</v>
      </c>
      <c r="CR79" s="409">
        <v>4.6001860436490745</v>
      </c>
      <c r="CS79" s="409">
        <v>0</v>
      </c>
      <c r="CT79" s="409">
        <v>0</v>
      </c>
      <c r="CU79" s="409">
        <v>0</v>
      </c>
      <c r="CV79" s="409">
        <v>0</v>
      </c>
      <c r="CW79" s="409">
        <v>0</v>
      </c>
      <c r="CX79" s="409">
        <v>0</v>
      </c>
      <c r="CY79" s="409">
        <v>0</v>
      </c>
      <c r="CZ79" s="409">
        <v>0.86395886127955634</v>
      </c>
      <c r="DA79" s="409">
        <v>0</v>
      </c>
      <c r="DB79" s="409">
        <v>0</v>
      </c>
      <c r="DC79" s="409">
        <v>4.1110609658289263</v>
      </c>
      <c r="DD79" s="409">
        <v>0</v>
      </c>
      <c r="DE79" s="409">
        <v>0</v>
      </c>
      <c r="DF79" s="409">
        <v>0</v>
      </c>
      <c r="DG79" s="409">
        <v>0.55773044339592381</v>
      </c>
      <c r="DH79" s="409">
        <v>0</v>
      </c>
      <c r="DI79" s="409">
        <v>-6.6912441788883115E-2</v>
      </c>
      <c r="DJ79" s="409"/>
      <c r="DK79" s="409">
        <v>0</v>
      </c>
      <c r="DL79" s="409">
        <v>0</v>
      </c>
      <c r="DM79" s="409">
        <v>0</v>
      </c>
      <c r="DN79" s="409">
        <v>0</v>
      </c>
      <c r="DO79" s="409">
        <v>-2.1010349578973297E-2</v>
      </c>
      <c r="DP79" s="409">
        <v>-3.7288458542192648E-2</v>
      </c>
      <c r="DQ79" s="409">
        <v>0</v>
      </c>
      <c r="DR79" s="409">
        <v>-0.80735297694528629</v>
      </c>
      <c r="DS79" s="409"/>
      <c r="DT79" s="409"/>
      <c r="DU79" s="409"/>
      <c r="DV79" s="409">
        <v>80.629536837873843</v>
      </c>
      <c r="DW79" s="409">
        <v>0</v>
      </c>
      <c r="DX79" s="409">
        <v>0</v>
      </c>
      <c r="DY79" s="409">
        <v>-17.003019999999992</v>
      </c>
      <c r="DZ79" s="409">
        <v>3.1215499999999849</v>
      </c>
      <c r="EA79" s="409">
        <v>0</v>
      </c>
      <c r="EB79" s="409">
        <v>0</v>
      </c>
      <c r="EC79" s="409">
        <v>-18.482185801677623</v>
      </c>
      <c r="ED79" s="409">
        <v>0</v>
      </c>
      <c r="EE79" s="409">
        <v>0</v>
      </c>
      <c r="EF79" s="409">
        <v>0</v>
      </c>
      <c r="EG79" s="409">
        <v>0</v>
      </c>
      <c r="EH79" s="409">
        <v>0</v>
      </c>
      <c r="EI79" s="409">
        <v>0</v>
      </c>
      <c r="EJ79" s="409">
        <v>0</v>
      </c>
      <c r="EK79" s="409">
        <v>0</v>
      </c>
      <c r="EL79" s="409">
        <v>0</v>
      </c>
      <c r="EM79" s="409">
        <v>0</v>
      </c>
      <c r="EN79" s="409">
        <v>0</v>
      </c>
      <c r="EO79" s="409">
        <v>0</v>
      </c>
      <c r="EP79" s="409">
        <v>0</v>
      </c>
      <c r="EQ79" s="409">
        <v>0</v>
      </c>
      <c r="ER79" s="409">
        <v>0</v>
      </c>
      <c r="ES79" s="409">
        <v>0</v>
      </c>
      <c r="ET79" s="409">
        <v>0</v>
      </c>
      <c r="EU79" s="409">
        <v>0</v>
      </c>
      <c r="EV79" s="409">
        <v>254</v>
      </c>
      <c r="EW79" s="409">
        <v>0</v>
      </c>
      <c r="EX79" s="409">
        <v>0</v>
      </c>
      <c r="EY79" s="409">
        <v>0</v>
      </c>
      <c r="EZ79" s="409"/>
      <c r="FA79" s="409">
        <v>0</v>
      </c>
      <c r="FB79" s="409"/>
      <c r="FC79" s="409"/>
      <c r="FD79" s="409"/>
      <c r="FE79" s="409"/>
      <c r="FF79" s="409">
        <v>0</v>
      </c>
      <c r="FG79" s="409">
        <v>0</v>
      </c>
      <c r="FH79" s="409">
        <v>0</v>
      </c>
      <c r="FI79" s="409">
        <v>0</v>
      </c>
    </row>
    <row r="80" spans="1:165" customFormat="1">
      <c r="A80" s="409">
        <v>78</v>
      </c>
      <c r="B80" s="409" t="s">
        <v>1035</v>
      </c>
      <c r="C80" s="409" t="s">
        <v>2252</v>
      </c>
      <c r="D80" s="409" t="s">
        <v>2254</v>
      </c>
      <c r="E80" s="409" t="s">
        <v>973</v>
      </c>
      <c r="F80" s="409" t="s">
        <v>1323</v>
      </c>
      <c r="G80" s="409" t="s">
        <v>1323</v>
      </c>
      <c r="H80" s="409" t="s">
        <v>1323</v>
      </c>
      <c r="I80" s="409" t="s">
        <v>1323</v>
      </c>
      <c r="J80" s="409" t="s">
        <v>2245</v>
      </c>
      <c r="K80" s="835">
        <v>44378</v>
      </c>
      <c r="L80" s="409">
        <v>0</v>
      </c>
      <c r="M80" s="409">
        <v>0</v>
      </c>
      <c r="N80" s="409">
        <v>0.27700000000000002</v>
      </c>
      <c r="O80" s="409">
        <v>0.27700000000000002</v>
      </c>
      <c r="P80" s="409">
        <v>0.27700000000000002</v>
      </c>
      <c r="Q80" s="409">
        <v>0.27700000000000002</v>
      </c>
      <c r="R80" s="409"/>
      <c r="S80" s="409">
        <v>597.01</v>
      </c>
      <c r="T80" s="409">
        <v>243.39</v>
      </c>
      <c r="U80" s="409"/>
      <c r="V80" s="409">
        <v>232.79079999999999</v>
      </c>
      <c r="W80" s="409">
        <v>232.79079999999999</v>
      </c>
      <c r="X80" s="409">
        <v>210.87456</v>
      </c>
      <c r="Y80" s="409">
        <v>0</v>
      </c>
      <c r="Z80" s="409">
        <v>6.8927232578597355</v>
      </c>
      <c r="AA80" s="409">
        <v>0</v>
      </c>
      <c r="AB80" s="409">
        <v>0</v>
      </c>
      <c r="AC80" s="409">
        <v>0</v>
      </c>
      <c r="AD80" s="409">
        <v>32.461371173912937</v>
      </c>
      <c r="AE80" s="409">
        <v>113.58067135931</v>
      </c>
      <c r="AF80" s="409">
        <v>67.418266809948463</v>
      </c>
      <c r="AG80" s="409">
        <v>0</v>
      </c>
      <c r="AH80" s="409">
        <v>0</v>
      </c>
      <c r="AI80" s="409">
        <v>0</v>
      </c>
      <c r="AJ80" s="409">
        <v>0</v>
      </c>
      <c r="AK80" s="409">
        <v>0</v>
      </c>
      <c r="AL80" s="409">
        <v>2.814068158639401</v>
      </c>
      <c r="AM80" s="409"/>
      <c r="AN80" s="409">
        <v>0.47557338338354443</v>
      </c>
      <c r="AO80" s="409">
        <v>0</v>
      </c>
      <c r="AP80" s="409">
        <v>0</v>
      </c>
      <c r="AQ80" s="409">
        <v>0</v>
      </c>
      <c r="AR80" s="409">
        <v>0</v>
      </c>
      <c r="AS80" s="409">
        <v>0</v>
      </c>
      <c r="AT80" s="409">
        <v>0</v>
      </c>
      <c r="AU80" s="409">
        <v>0</v>
      </c>
      <c r="AV80" s="409">
        <v>0</v>
      </c>
      <c r="AW80" s="409">
        <v>0</v>
      </c>
      <c r="AX80" s="409">
        <v>0</v>
      </c>
      <c r="AY80" s="409">
        <v>0</v>
      </c>
      <c r="AZ80" s="409">
        <v>0</v>
      </c>
      <c r="BA80" s="409"/>
      <c r="BB80" s="409">
        <v>0</v>
      </c>
      <c r="BC80" s="409">
        <v>0</v>
      </c>
      <c r="BD80" s="409">
        <v>0</v>
      </c>
      <c r="BE80" s="409">
        <v>0</v>
      </c>
      <c r="BF80" s="409">
        <v>0</v>
      </c>
      <c r="BG80" s="409">
        <v>9.146354226667329</v>
      </c>
      <c r="BH80" s="409">
        <v>0</v>
      </c>
      <c r="BI80" s="409">
        <v>1.31</v>
      </c>
      <c r="BJ80" s="409">
        <v>6.02</v>
      </c>
      <c r="BK80" s="409">
        <v>0</v>
      </c>
      <c r="BL80" s="409">
        <v>5</v>
      </c>
      <c r="BM80" s="409"/>
      <c r="BN80" s="409"/>
      <c r="BO80" s="409"/>
      <c r="BP80" s="409"/>
      <c r="BQ80" s="409"/>
      <c r="BR80" s="409">
        <v>25.306719999999999</v>
      </c>
      <c r="BS80" s="409"/>
      <c r="BT80" s="409"/>
      <c r="BU80" s="409"/>
      <c r="BV80" s="409">
        <v>76.56462103661579</v>
      </c>
      <c r="BW80" s="409"/>
      <c r="BX80" s="409"/>
      <c r="BY80" s="409"/>
      <c r="BZ80" s="409"/>
      <c r="CA80" s="409"/>
      <c r="CB80" s="409"/>
      <c r="CC80" s="409"/>
      <c r="CD80" s="409"/>
      <c r="CE80" s="409"/>
      <c r="CF80" s="409"/>
      <c r="CG80" s="409"/>
      <c r="CH80" s="409"/>
      <c r="CI80" s="409">
        <v>187.57760000000002</v>
      </c>
      <c r="CJ80" s="409">
        <v>-17.30774999999997</v>
      </c>
      <c r="CK80" s="409"/>
      <c r="CL80" s="409"/>
      <c r="CM80" s="409"/>
      <c r="CN80" s="409"/>
      <c r="CO80" s="409">
        <v>-24.259659999999997</v>
      </c>
      <c r="CP80" s="409">
        <v>2.3434200000000023</v>
      </c>
      <c r="CQ80" s="409">
        <v>31</v>
      </c>
      <c r="CR80" s="409">
        <v>4.120048974006167</v>
      </c>
      <c r="CS80" s="409">
        <v>0</v>
      </c>
      <c r="CT80" s="409">
        <v>0</v>
      </c>
      <c r="CU80" s="409">
        <v>0</v>
      </c>
      <c r="CV80" s="409">
        <v>0</v>
      </c>
      <c r="CW80" s="409">
        <v>0</v>
      </c>
      <c r="CX80" s="409">
        <v>0</v>
      </c>
      <c r="CY80" s="409">
        <v>0</v>
      </c>
      <c r="CZ80" s="409">
        <v>1.2169968741699151</v>
      </c>
      <c r="DA80" s="409">
        <v>0</v>
      </c>
      <c r="DB80" s="409">
        <v>0</v>
      </c>
      <c r="DC80" s="409">
        <v>3.0884245159868016</v>
      </c>
      <c r="DD80" s="409">
        <v>0</v>
      </c>
      <c r="DE80" s="409">
        <v>0</v>
      </c>
      <c r="DF80" s="409">
        <v>0</v>
      </c>
      <c r="DG80" s="409">
        <v>0.41899363425001646</v>
      </c>
      <c r="DH80" s="409">
        <v>0</v>
      </c>
      <c r="DI80" s="409">
        <v>-5.0267808568893457E-2</v>
      </c>
      <c r="DJ80" s="409"/>
      <c r="DK80" s="409">
        <v>0</v>
      </c>
      <c r="DL80" s="409">
        <v>0</v>
      </c>
      <c r="DM80" s="409">
        <v>0</v>
      </c>
      <c r="DN80" s="409">
        <v>0</v>
      </c>
      <c r="DO80" s="409">
        <v>-1.578397383754826E-2</v>
      </c>
      <c r="DP80" s="409">
        <v>-2.8012863463296511E-2</v>
      </c>
      <c r="DQ80" s="409">
        <v>0</v>
      </c>
      <c r="DR80" s="409">
        <v>-0.51030140453082551</v>
      </c>
      <c r="DS80" s="409"/>
      <c r="DT80" s="409"/>
      <c r="DU80" s="409"/>
      <c r="DV80" s="409">
        <v>113.58067135931</v>
      </c>
      <c r="DW80" s="409">
        <v>0</v>
      </c>
      <c r="DX80" s="409">
        <v>0</v>
      </c>
      <c r="DY80" s="409">
        <v>-24.259659999999997</v>
      </c>
      <c r="DZ80" s="409">
        <v>2.3434199999999947</v>
      </c>
      <c r="EA80" s="409">
        <v>0</v>
      </c>
      <c r="EB80" s="409">
        <v>0</v>
      </c>
      <c r="EC80" s="409">
        <v>-26.035360661478919</v>
      </c>
      <c r="ED80" s="409">
        <v>0</v>
      </c>
      <c r="EE80" s="409">
        <v>0</v>
      </c>
      <c r="EF80" s="409">
        <v>0</v>
      </c>
      <c r="EG80" s="409">
        <v>0</v>
      </c>
      <c r="EH80" s="409">
        <v>0</v>
      </c>
      <c r="EI80" s="409">
        <v>0</v>
      </c>
      <c r="EJ80" s="409">
        <v>0</v>
      </c>
      <c r="EK80" s="409">
        <v>0</v>
      </c>
      <c r="EL80" s="409">
        <v>0</v>
      </c>
      <c r="EM80" s="409">
        <v>0</v>
      </c>
      <c r="EN80" s="409">
        <v>0</v>
      </c>
      <c r="EO80" s="409">
        <v>0</v>
      </c>
      <c r="EP80" s="409">
        <v>0</v>
      </c>
      <c r="EQ80" s="409">
        <v>0</v>
      </c>
      <c r="ER80" s="409">
        <v>0</v>
      </c>
      <c r="ES80" s="409">
        <v>0</v>
      </c>
      <c r="ET80" s="409">
        <v>0</v>
      </c>
      <c r="EU80" s="409">
        <v>0</v>
      </c>
      <c r="EV80" s="409">
        <v>254</v>
      </c>
      <c r="EW80" s="409">
        <v>0</v>
      </c>
      <c r="EX80" s="409">
        <v>0</v>
      </c>
      <c r="EY80" s="409">
        <v>0</v>
      </c>
      <c r="EZ80" s="409"/>
      <c r="FA80" s="409">
        <v>0</v>
      </c>
      <c r="FB80" s="409"/>
      <c r="FC80" s="409"/>
      <c r="FD80" s="409"/>
      <c r="FE80" s="409"/>
      <c r="FF80" s="409">
        <v>0</v>
      </c>
      <c r="FG80" s="409">
        <v>0</v>
      </c>
      <c r="FH80" s="409">
        <v>0</v>
      </c>
      <c r="FI80" s="409">
        <v>0</v>
      </c>
    </row>
    <row r="81" spans="1:165" customFormat="1">
      <c r="A81" s="409">
        <v>79</v>
      </c>
      <c r="B81" s="409" t="s">
        <v>1035</v>
      </c>
      <c r="C81" s="409" t="s">
        <v>2252</v>
      </c>
      <c r="D81" s="409" t="s">
        <v>2254</v>
      </c>
      <c r="E81" s="409" t="s">
        <v>973</v>
      </c>
      <c r="F81" s="409" t="s">
        <v>1323</v>
      </c>
      <c r="G81" s="409" t="s">
        <v>1323</v>
      </c>
      <c r="H81" s="409" t="s">
        <v>1323</v>
      </c>
      <c r="I81" s="409" t="s">
        <v>2253</v>
      </c>
      <c r="J81" s="409" t="s">
        <v>2245</v>
      </c>
      <c r="K81" s="835">
        <v>44378</v>
      </c>
      <c r="L81" s="409">
        <v>0</v>
      </c>
      <c r="M81" s="409">
        <v>0</v>
      </c>
      <c r="N81" s="409">
        <v>1.9E-2</v>
      </c>
      <c r="O81" s="409">
        <v>1.9E-2</v>
      </c>
      <c r="P81" s="409">
        <v>1.9E-2</v>
      </c>
      <c r="Q81" s="409">
        <v>1.9E-2</v>
      </c>
      <c r="R81" s="409"/>
      <c r="S81" s="409">
        <v>803.7</v>
      </c>
      <c r="T81" s="409">
        <v>214.18</v>
      </c>
      <c r="U81" s="409"/>
      <c r="V81" s="409">
        <v>19.33972</v>
      </c>
      <c r="W81" s="409">
        <v>19.33972</v>
      </c>
      <c r="X81" s="409">
        <v>17.12565</v>
      </c>
      <c r="Y81" s="409">
        <v>0</v>
      </c>
      <c r="Z81" s="409">
        <v>0.41605174321810412</v>
      </c>
      <c r="AA81" s="409">
        <v>0</v>
      </c>
      <c r="AB81" s="409">
        <v>0</v>
      </c>
      <c r="AC81" s="409">
        <v>0</v>
      </c>
      <c r="AD81" s="409">
        <v>3.1348794674293479</v>
      </c>
      <c r="AE81" s="409">
        <v>10.968686535933765</v>
      </c>
      <c r="AF81" s="409">
        <v>4.0694347330770331</v>
      </c>
      <c r="AG81" s="409">
        <v>0</v>
      </c>
      <c r="AH81" s="409">
        <v>0</v>
      </c>
      <c r="AI81" s="409">
        <v>0</v>
      </c>
      <c r="AJ81" s="409">
        <v>0</v>
      </c>
      <c r="AK81" s="409">
        <v>0</v>
      </c>
      <c r="AL81" s="409">
        <v>0.16985999860090517</v>
      </c>
      <c r="AM81" s="409"/>
      <c r="AN81" s="409">
        <v>2.8706090145028462E-2</v>
      </c>
      <c r="AO81" s="409">
        <v>0</v>
      </c>
      <c r="AP81" s="409">
        <v>0</v>
      </c>
      <c r="AQ81" s="409">
        <v>0</v>
      </c>
      <c r="AR81" s="409">
        <v>0</v>
      </c>
      <c r="AS81" s="409">
        <v>0</v>
      </c>
      <c r="AT81" s="409">
        <v>0</v>
      </c>
      <c r="AU81" s="409">
        <v>0</v>
      </c>
      <c r="AV81" s="409">
        <v>0</v>
      </c>
      <c r="AW81" s="409">
        <v>0</v>
      </c>
      <c r="AX81" s="409">
        <v>0</v>
      </c>
      <c r="AY81" s="409">
        <v>0</v>
      </c>
      <c r="AZ81" s="409">
        <v>0</v>
      </c>
      <c r="BA81" s="409"/>
      <c r="BB81" s="409">
        <v>0</v>
      </c>
      <c r="BC81" s="409">
        <v>0</v>
      </c>
      <c r="BD81" s="409">
        <v>0</v>
      </c>
      <c r="BE81" s="409">
        <v>0</v>
      </c>
      <c r="BF81" s="409">
        <v>0</v>
      </c>
      <c r="BG81" s="409">
        <v>0.55208318653385469</v>
      </c>
      <c r="BH81" s="409">
        <v>0</v>
      </c>
      <c r="BI81" s="409">
        <v>0</v>
      </c>
      <c r="BJ81" s="409">
        <v>0</v>
      </c>
      <c r="BK81" s="409">
        <v>0</v>
      </c>
      <c r="BL81" s="409">
        <v>0</v>
      </c>
      <c r="BM81" s="409"/>
      <c r="BN81" s="409"/>
      <c r="BO81" s="409"/>
      <c r="BP81" s="409"/>
      <c r="BQ81" s="409"/>
      <c r="BR81" s="409"/>
      <c r="BS81" s="409"/>
      <c r="BT81" s="409"/>
      <c r="BU81" s="409"/>
      <c r="BV81" s="409">
        <v>4.6215179196108878</v>
      </c>
      <c r="BW81" s="409"/>
      <c r="BX81" s="409"/>
      <c r="BY81" s="409"/>
      <c r="BZ81" s="409"/>
      <c r="CA81" s="409"/>
      <c r="CB81" s="409"/>
      <c r="CC81" s="409"/>
      <c r="CD81" s="409"/>
      <c r="CE81" s="409"/>
      <c r="CF81" s="409"/>
      <c r="CG81" s="409"/>
      <c r="CH81" s="409"/>
      <c r="CI81" s="409">
        <v>18.027000000000001</v>
      </c>
      <c r="CJ81" s="409">
        <v>-1.3427199999999999</v>
      </c>
      <c r="CK81" s="409"/>
      <c r="CL81" s="409"/>
      <c r="CM81" s="409"/>
      <c r="CN81" s="409"/>
      <c r="CO81" s="409">
        <v>-2.3556200000000005</v>
      </c>
      <c r="CP81" s="409">
        <v>0.14154999999999979</v>
      </c>
      <c r="CQ81" s="409">
        <v>31</v>
      </c>
      <c r="CR81" s="409">
        <v>0.30022550249821123</v>
      </c>
      <c r="CS81" s="409">
        <v>0</v>
      </c>
      <c r="CT81" s="409">
        <v>0</v>
      </c>
      <c r="CU81" s="409">
        <v>0</v>
      </c>
      <c r="CV81" s="409">
        <v>0</v>
      </c>
      <c r="CW81" s="409">
        <v>0</v>
      </c>
      <c r="CX81" s="409">
        <v>0</v>
      </c>
      <c r="CY81" s="409">
        <v>0</v>
      </c>
      <c r="CZ81" s="409">
        <v>0.11752856933617206</v>
      </c>
      <c r="DA81" s="409">
        <v>0</v>
      </c>
      <c r="DB81" s="409">
        <v>0</v>
      </c>
      <c r="DC81" s="409">
        <v>0.18642042565811323</v>
      </c>
      <c r="DD81" s="409">
        <v>0</v>
      </c>
      <c r="DE81" s="409">
        <v>0</v>
      </c>
      <c r="DF81" s="409">
        <v>0</v>
      </c>
      <c r="DG81" s="409">
        <v>2.5290879294803226E-2</v>
      </c>
      <c r="DH81" s="409">
        <v>0</v>
      </c>
      <c r="DI81" s="409">
        <v>-3.0342157374434464E-3</v>
      </c>
      <c r="DJ81" s="409"/>
      <c r="DK81" s="409">
        <v>0</v>
      </c>
      <c r="DL81" s="409">
        <v>0</v>
      </c>
      <c r="DM81" s="409">
        <v>0</v>
      </c>
      <c r="DN81" s="409">
        <v>0</v>
      </c>
      <c r="DO81" s="409">
        <v>-9.527366157529582E-4</v>
      </c>
      <c r="DP81" s="409">
        <v>-1.6908847548965621E-3</v>
      </c>
      <c r="DQ81" s="409">
        <v>0</v>
      </c>
      <c r="DR81" s="409">
        <v>-2.3336534682783291E-2</v>
      </c>
      <c r="DS81" s="409"/>
      <c r="DT81" s="409"/>
      <c r="DU81" s="409"/>
      <c r="DV81" s="409">
        <v>10.968686535933765</v>
      </c>
      <c r="DW81" s="409">
        <v>0</v>
      </c>
      <c r="DX81" s="409">
        <v>0</v>
      </c>
      <c r="DY81" s="409">
        <v>-2.35562</v>
      </c>
      <c r="DZ81" s="409">
        <v>0.14154999999999962</v>
      </c>
      <c r="EA81" s="409">
        <v>0</v>
      </c>
      <c r="EB81" s="409">
        <v>0</v>
      </c>
      <c r="EC81" s="409">
        <v>-2.514280876561628</v>
      </c>
      <c r="ED81" s="409">
        <v>0</v>
      </c>
      <c r="EE81" s="409">
        <v>0</v>
      </c>
      <c r="EF81" s="409">
        <v>0</v>
      </c>
      <c r="EG81" s="409">
        <v>0</v>
      </c>
      <c r="EH81" s="409">
        <v>0</v>
      </c>
      <c r="EI81" s="409">
        <v>0</v>
      </c>
      <c r="EJ81" s="409">
        <v>0</v>
      </c>
      <c r="EK81" s="409">
        <v>0</v>
      </c>
      <c r="EL81" s="409">
        <v>0</v>
      </c>
      <c r="EM81" s="409">
        <v>0</v>
      </c>
      <c r="EN81" s="409">
        <v>0</v>
      </c>
      <c r="EO81" s="409">
        <v>0</v>
      </c>
      <c r="EP81" s="409">
        <v>0</v>
      </c>
      <c r="EQ81" s="409">
        <v>0</v>
      </c>
      <c r="ER81" s="409">
        <v>0</v>
      </c>
      <c r="ES81" s="409">
        <v>0</v>
      </c>
      <c r="ET81" s="409">
        <v>0</v>
      </c>
      <c r="EU81" s="409">
        <v>0</v>
      </c>
      <c r="EV81" s="409">
        <v>254</v>
      </c>
      <c r="EW81" s="409">
        <v>0</v>
      </c>
      <c r="EX81" s="409">
        <v>0</v>
      </c>
      <c r="EY81" s="409">
        <v>0</v>
      </c>
      <c r="EZ81" s="409"/>
      <c r="FA81" s="409">
        <v>0</v>
      </c>
      <c r="FB81" s="409"/>
      <c r="FC81" s="409"/>
      <c r="FD81" s="409"/>
      <c r="FE81" s="409"/>
      <c r="FF81" s="409">
        <v>0</v>
      </c>
      <c r="FG81" s="409">
        <v>0</v>
      </c>
      <c r="FH81" s="409">
        <v>0</v>
      </c>
      <c r="FI81" s="409">
        <v>0</v>
      </c>
    </row>
    <row r="82" spans="1:165" customFormat="1">
      <c r="A82" s="409">
        <v>80</v>
      </c>
      <c r="B82" s="409" t="s">
        <v>1035</v>
      </c>
      <c r="C82" s="409" t="s">
        <v>2244</v>
      </c>
      <c r="D82" s="409" t="s">
        <v>1994</v>
      </c>
      <c r="E82" s="409" t="s">
        <v>2255</v>
      </c>
      <c r="F82" s="409" t="s">
        <v>1323</v>
      </c>
      <c r="G82" s="409" t="s">
        <v>1323</v>
      </c>
      <c r="H82" s="409" t="s">
        <v>1323</v>
      </c>
      <c r="I82" s="409" t="s">
        <v>1323</v>
      </c>
      <c r="J82" s="409" t="s">
        <v>2245</v>
      </c>
      <c r="K82" s="835">
        <v>44378</v>
      </c>
      <c r="L82" s="409">
        <v>0</v>
      </c>
      <c r="M82" s="409">
        <v>0</v>
      </c>
      <c r="N82" s="409">
        <v>13.198</v>
      </c>
      <c r="O82" s="409">
        <v>13.198</v>
      </c>
      <c r="P82" s="409">
        <v>13.198</v>
      </c>
      <c r="Q82" s="409">
        <v>13.198</v>
      </c>
      <c r="R82" s="409"/>
      <c r="S82" s="409">
        <v>597.01</v>
      </c>
      <c r="T82" s="409">
        <v>243.39</v>
      </c>
      <c r="U82" s="409"/>
      <c r="V82" s="409">
        <v>11091.599200000001</v>
      </c>
      <c r="W82" s="409">
        <v>11091.599200000001</v>
      </c>
      <c r="X82" s="409">
        <v>10047.373439999999</v>
      </c>
      <c r="Y82" s="409">
        <v>0</v>
      </c>
      <c r="Z82" s="409">
        <v>328.41213558567796</v>
      </c>
      <c r="AA82" s="409">
        <v>0</v>
      </c>
      <c r="AB82" s="409">
        <v>0</v>
      </c>
      <c r="AC82" s="409">
        <v>0</v>
      </c>
      <c r="AD82" s="409">
        <v>1546.6612879180614</v>
      </c>
      <c r="AE82" s="409">
        <v>5411.6884498201207</v>
      </c>
      <c r="AF82" s="409">
        <v>3212.2248568870032</v>
      </c>
      <c r="AG82" s="409">
        <v>0</v>
      </c>
      <c r="AH82" s="409">
        <v>0</v>
      </c>
      <c r="AI82" s="409">
        <v>0</v>
      </c>
      <c r="AJ82" s="409">
        <v>0</v>
      </c>
      <c r="AK82" s="409">
        <v>0</v>
      </c>
      <c r="AL82" s="409">
        <v>134.07968071380077</v>
      </c>
      <c r="AM82" s="409"/>
      <c r="AN82" s="409">
        <v>22.659269003234726</v>
      </c>
      <c r="AO82" s="409">
        <v>0</v>
      </c>
      <c r="AP82" s="409">
        <v>0</v>
      </c>
      <c r="AQ82" s="409">
        <v>0</v>
      </c>
      <c r="AR82" s="409">
        <v>0</v>
      </c>
      <c r="AS82" s="409">
        <v>0</v>
      </c>
      <c r="AT82" s="409">
        <v>0</v>
      </c>
      <c r="AU82" s="409">
        <v>0</v>
      </c>
      <c r="AV82" s="409">
        <v>0</v>
      </c>
      <c r="AW82" s="409">
        <v>0</v>
      </c>
      <c r="AX82" s="409">
        <v>0</v>
      </c>
      <c r="AY82" s="409">
        <v>0</v>
      </c>
      <c r="AZ82" s="409">
        <v>0</v>
      </c>
      <c r="BA82" s="409"/>
      <c r="BB82" s="409">
        <v>0</v>
      </c>
      <c r="BC82" s="409">
        <v>0</v>
      </c>
      <c r="BD82" s="409">
        <v>0</v>
      </c>
      <c r="BE82" s="409">
        <v>0</v>
      </c>
      <c r="BF82" s="409">
        <v>0</v>
      </c>
      <c r="BG82" s="409">
        <v>435.78910860489316</v>
      </c>
      <c r="BH82" s="409">
        <v>0</v>
      </c>
      <c r="BI82" s="409">
        <v>10.71</v>
      </c>
      <c r="BJ82" s="409">
        <v>49.44</v>
      </c>
      <c r="BK82" s="409">
        <v>1202.4000000000001</v>
      </c>
      <c r="BL82" s="409">
        <v>30</v>
      </c>
      <c r="BM82" s="409"/>
      <c r="BN82" s="409"/>
      <c r="BO82" s="409"/>
      <c r="BP82" s="409"/>
      <c r="BQ82" s="409"/>
      <c r="BR82" s="409"/>
      <c r="BS82" s="409"/>
      <c r="BT82" s="409"/>
      <c r="BU82" s="409"/>
      <c r="BV82" s="409">
        <v>3648.0139654918962</v>
      </c>
      <c r="BW82" s="409"/>
      <c r="BX82" s="409"/>
      <c r="BY82" s="409"/>
      <c r="BZ82" s="409"/>
      <c r="CA82" s="409"/>
      <c r="CB82" s="409"/>
      <c r="CC82" s="409"/>
      <c r="CD82" s="409"/>
      <c r="CE82" s="409"/>
      <c r="CF82" s="409"/>
      <c r="CG82" s="409"/>
      <c r="CH82" s="409"/>
      <c r="CI82" s="409">
        <v>10048.895999999999</v>
      </c>
      <c r="CJ82" s="409">
        <v>-1042.7332000000024</v>
      </c>
      <c r="CK82" s="409"/>
      <c r="CL82" s="409"/>
      <c r="CM82" s="409"/>
      <c r="CN82" s="409"/>
      <c r="CO82" s="409">
        <v>-1155.8808399999998</v>
      </c>
      <c r="CP82" s="409">
        <v>111.65508000000011</v>
      </c>
      <c r="CQ82" s="409">
        <v>31</v>
      </c>
      <c r="CR82" s="409">
        <v>196.3047160972319</v>
      </c>
      <c r="CS82" s="409">
        <v>0</v>
      </c>
      <c r="CT82" s="409">
        <v>0</v>
      </c>
      <c r="CU82" s="409">
        <v>0</v>
      </c>
      <c r="CV82" s="409">
        <v>0</v>
      </c>
      <c r="CW82" s="409">
        <v>0</v>
      </c>
      <c r="CX82" s="409">
        <v>0</v>
      </c>
      <c r="CY82" s="409">
        <v>0</v>
      </c>
      <c r="CZ82" s="409">
        <v>57.985287889149731</v>
      </c>
      <c r="DA82" s="409">
        <v>0</v>
      </c>
      <c r="DB82" s="409">
        <v>0</v>
      </c>
      <c r="DC82" s="409">
        <v>147.1517211624323</v>
      </c>
      <c r="DD82" s="409">
        <v>0</v>
      </c>
      <c r="DE82" s="409">
        <v>0</v>
      </c>
      <c r="DF82" s="409">
        <v>0</v>
      </c>
      <c r="DG82" s="409">
        <v>19.963458428995409</v>
      </c>
      <c r="DH82" s="409">
        <v>0</v>
      </c>
      <c r="DI82" s="409">
        <v>-2.3950705324630235</v>
      </c>
      <c r="DJ82" s="409"/>
      <c r="DK82" s="409">
        <v>0</v>
      </c>
      <c r="DL82" s="409">
        <v>0</v>
      </c>
      <c r="DM82" s="409">
        <v>0</v>
      </c>
      <c r="DN82" s="409">
        <v>0</v>
      </c>
      <c r="DO82" s="409">
        <v>-0.75204652241143322</v>
      </c>
      <c r="DP82" s="409">
        <v>-1.3347067580815413</v>
      </c>
      <c r="DQ82" s="409">
        <v>0</v>
      </c>
      <c r="DR82" s="409">
        <v>-24.313927570389296</v>
      </c>
      <c r="DS82" s="409"/>
      <c r="DT82" s="409"/>
      <c r="DU82" s="409"/>
      <c r="DV82" s="409">
        <v>5411.6884498201207</v>
      </c>
      <c r="DW82" s="409">
        <v>0</v>
      </c>
      <c r="DX82" s="409">
        <v>0</v>
      </c>
      <c r="DY82" s="409">
        <v>-1155.8808399999998</v>
      </c>
      <c r="DZ82" s="409">
        <v>111.65508</v>
      </c>
      <c r="EA82" s="409">
        <v>0</v>
      </c>
      <c r="EB82" s="409">
        <v>0</v>
      </c>
      <c r="EC82" s="409">
        <v>-1240.4862455241837</v>
      </c>
      <c r="ED82" s="409">
        <v>0</v>
      </c>
      <c r="EE82" s="409">
        <v>0</v>
      </c>
      <c r="EF82" s="409">
        <v>0</v>
      </c>
      <c r="EG82" s="409">
        <v>0</v>
      </c>
      <c r="EH82" s="409">
        <v>0</v>
      </c>
      <c r="EI82" s="409">
        <v>0</v>
      </c>
      <c r="EJ82" s="409">
        <v>0</v>
      </c>
      <c r="EK82" s="409">
        <v>0</v>
      </c>
      <c r="EL82" s="409">
        <v>0</v>
      </c>
      <c r="EM82" s="409">
        <v>0</v>
      </c>
      <c r="EN82" s="409">
        <v>0</v>
      </c>
      <c r="EO82" s="409">
        <v>0</v>
      </c>
      <c r="EP82" s="409">
        <v>0</v>
      </c>
      <c r="EQ82" s="409">
        <v>0</v>
      </c>
      <c r="ER82" s="409">
        <v>0</v>
      </c>
      <c r="ES82" s="409">
        <v>0</v>
      </c>
      <c r="ET82" s="409">
        <v>0</v>
      </c>
      <c r="EU82" s="409">
        <v>0</v>
      </c>
      <c r="EV82" s="409">
        <v>254</v>
      </c>
      <c r="EW82" s="409">
        <v>0</v>
      </c>
      <c r="EX82" s="409">
        <v>0</v>
      </c>
      <c r="EY82" s="409">
        <v>0</v>
      </c>
      <c r="EZ82" s="409"/>
      <c r="FA82" s="409">
        <v>0</v>
      </c>
      <c r="FB82" s="409"/>
      <c r="FC82" s="409"/>
      <c r="FD82" s="409"/>
      <c r="FE82" s="409"/>
      <c r="FF82" s="409">
        <v>0</v>
      </c>
      <c r="FG82" s="409">
        <v>0</v>
      </c>
      <c r="FH82" s="409">
        <v>0</v>
      </c>
      <c r="FI82" s="409">
        <v>0</v>
      </c>
    </row>
    <row r="83" spans="1:165" s="874" customFormat="1">
      <c r="A83" s="409">
        <v>81</v>
      </c>
      <c r="B83" s="409" t="s">
        <v>1035</v>
      </c>
      <c r="C83" s="409" t="s">
        <v>2244</v>
      </c>
      <c r="D83" s="409" t="s">
        <v>2256</v>
      </c>
      <c r="E83" s="409" t="s">
        <v>2257</v>
      </c>
      <c r="F83" s="409" t="s">
        <v>2258</v>
      </c>
      <c r="G83" s="409" t="s">
        <v>1323</v>
      </c>
      <c r="H83" s="409" t="s">
        <v>1323</v>
      </c>
      <c r="I83" s="409" t="s">
        <v>1323</v>
      </c>
      <c r="J83" s="409" t="s">
        <v>2245</v>
      </c>
      <c r="K83" s="835">
        <v>44378</v>
      </c>
      <c r="L83" s="409">
        <v>0</v>
      </c>
      <c r="M83" s="409">
        <v>0</v>
      </c>
      <c r="N83" s="409">
        <v>135.209</v>
      </c>
      <c r="O83" s="409">
        <v>135.209</v>
      </c>
      <c r="P83" s="409">
        <v>135.209</v>
      </c>
      <c r="Q83" s="409">
        <v>135.209</v>
      </c>
      <c r="R83" s="409"/>
      <c r="S83" s="409">
        <v>328.35</v>
      </c>
      <c r="T83" s="409">
        <v>133.86000000000001</v>
      </c>
      <c r="U83" s="409"/>
      <c r="V83" s="409">
        <v>62494.951890000011</v>
      </c>
      <c r="W83" s="409">
        <v>62494.951890000011</v>
      </c>
      <c r="X83" s="409">
        <v>56612.008300000001</v>
      </c>
      <c r="Y83" s="409">
        <v>0</v>
      </c>
      <c r="Z83" s="409">
        <v>1850.4585575255489</v>
      </c>
      <c r="AA83" s="409">
        <v>0</v>
      </c>
      <c r="AB83" s="409">
        <v>0</v>
      </c>
      <c r="AC83" s="409">
        <v>0</v>
      </c>
      <c r="AD83" s="409">
        <v>8714.7590046190508</v>
      </c>
      <c r="AE83" s="409">
        <v>30492.494392063305</v>
      </c>
      <c r="AF83" s="409">
        <v>18099.480290283325</v>
      </c>
      <c r="AG83" s="409">
        <v>0</v>
      </c>
      <c r="AH83" s="409">
        <v>0</v>
      </c>
      <c r="AI83" s="409">
        <v>0</v>
      </c>
      <c r="AJ83" s="409">
        <v>0</v>
      </c>
      <c r="AK83" s="409">
        <v>0</v>
      </c>
      <c r="AL83" s="409">
        <v>755.48028127729651</v>
      </c>
      <c r="AM83" s="409"/>
      <c r="AN83" s="409">
        <v>127.67505731641944</v>
      </c>
      <c r="AO83" s="409">
        <v>0</v>
      </c>
      <c r="AP83" s="409">
        <v>0</v>
      </c>
      <c r="AQ83" s="409">
        <v>0</v>
      </c>
      <c r="AR83" s="409">
        <v>0</v>
      </c>
      <c r="AS83" s="409">
        <v>0</v>
      </c>
      <c r="AT83" s="409">
        <v>0</v>
      </c>
      <c r="AU83" s="409">
        <v>0</v>
      </c>
      <c r="AV83" s="409">
        <v>0</v>
      </c>
      <c r="AW83" s="409">
        <v>0</v>
      </c>
      <c r="AX83" s="409">
        <v>0</v>
      </c>
      <c r="AY83" s="409">
        <v>0</v>
      </c>
      <c r="AZ83" s="409">
        <v>0</v>
      </c>
      <c r="BA83" s="409"/>
      <c r="BB83" s="409">
        <v>0</v>
      </c>
      <c r="BC83" s="409">
        <v>0</v>
      </c>
      <c r="BD83" s="409">
        <v>0</v>
      </c>
      <c r="BE83" s="409">
        <v>0</v>
      </c>
      <c r="BF83" s="409">
        <v>0</v>
      </c>
      <c r="BG83" s="409">
        <v>2455.480775265004</v>
      </c>
      <c r="BH83" s="409">
        <v>0</v>
      </c>
      <c r="BI83" s="409">
        <v>0</v>
      </c>
      <c r="BJ83" s="409">
        <v>0</v>
      </c>
      <c r="BK83" s="409">
        <v>0</v>
      </c>
      <c r="BL83" s="409">
        <v>5</v>
      </c>
      <c r="BM83" s="409"/>
      <c r="BN83" s="409"/>
      <c r="BO83" s="409"/>
      <c r="BP83" s="409"/>
      <c r="BQ83" s="409"/>
      <c r="BR83" s="409"/>
      <c r="BS83" s="409"/>
      <c r="BT83" s="409"/>
      <c r="BU83" s="409"/>
      <c r="BV83" s="409">
        <v>20554.96106554833</v>
      </c>
      <c r="BW83" s="409"/>
      <c r="BX83" s="409"/>
      <c r="BY83" s="409"/>
      <c r="BZ83" s="409"/>
      <c r="CA83" s="409"/>
      <c r="CB83" s="409"/>
      <c r="CC83" s="409"/>
      <c r="CD83" s="409"/>
      <c r="CE83" s="409"/>
      <c r="CF83" s="409"/>
      <c r="CG83" s="409"/>
      <c r="CH83" s="409"/>
      <c r="CI83" s="409">
        <v>56612.427000000011</v>
      </c>
      <c r="CJ83" s="409">
        <v>-5882.5548900000067</v>
      </c>
      <c r="CK83" s="409"/>
      <c r="CL83" s="409"/>
      <c r="CM83" s="409"/>
      <c r="CN83" s="409"/>
      <c r="CO83" s="409">
        <v>-6513.0175300000019</v>
      </c>
      <c r="CP83" s="409">
        <v>630.07393999999954</v>
      </c>
      <c r="CQ83" s="409">
        <v>31</v>
      </c>
      <c r="CR83" s="409">
        <v>1106.0911045108551</v>
      </c>
      <c r="CS83" s="409">
        <v>0</v>
      </c>
      <c r="CT83" s="409">
        <v>0</v>
      </c>
      <c r="CU83" s="409">
        <v>0</v>
      </c>
      <c r="CV83" s="409">
        <v>0</v>
      </c>
      <c r="CW83" s="409">
        <v>0</v>
      </c>
      <c r="CX83" s="409">
        <v>0</v>
      </c>
      <c r="CY83" s="409">
        <v>0</v>
      </c>
      <c r="CZ83" s="409">
        <v>326.72170288012967</v>
      </c>
      <c r="DA83" s="409">
        <v>0</v>
      </c>
      <c r="DB83" s="409">
        <v>0</v>
      </c>
      <c r="DC83" s="409">
        <v>829.13550436869627</v>
      </c>
      <c r="DD83" s="409">
        <v>0</v>
      </c>
      <c r="DE83" s="409">
        <v>0</v>
      </c>
      <c r="DF83" s="409">
        <v>0</v>
      </c>
      <c r="DG83" s="409">
        <v>112.48534534771807</v>
      </c>
      <c r="DH83" s="409">
        <v>0</v>
      </c>
      <c r="DI83" s="409">
        <v>-13.495173540923815</v>
      </c>
      <c r="DJ83" s="409"/>
      <c r="DK83" s="409">
        <v>0</v>
      </c>
      <c r="DL83" s="409">
        <v>0</v>
      </c>
      <c r="DM83" s="409">
        <v>0</v>
      </c>
      <c r="DN83" s="409">
        <v>0</v>
      </c>
      <c r="DO83" s="409">
        <v>-4.2374527986636394</v>
      </c>
      <c r="DP83" s="409">
        <v>-7.5204880534473943</v>
      </c>
      <c r="DQ83" s="409">
        <v>0</v>
      </c>
      <c r="DR83" s="409">
        <v>-136.99833369265281</v>
      </c>
      <c r="DS83" s="409"/>
      <c r="DT83" s="409"/>
      <c r="DU83" s="409"/>
      <c r="DV83" s="409">
        <v>30492.494392063305</v>
      </c>
      <c r="DW83" s="409">
        <v>0</v>
      </c>
      <c r="DX83" s="409">
        <v>0</v>
      </c>
      <c r="DY83" s="409">
        <v>-6513.0175300000046</v>
      </c>
      <c r="DZ83" s="409">
        <v>630.0739399999984</v>
      </c>
      <c r="EA83" s="409">
        <v>0</v>
      </c>
      <c r="EB83" s="409">
        <v>0</v>
      </c>
      <c r="EC83" s="409">
        <v>-6989.5967286024024</v>
      </c>
      <c r="ED83" s="409">
        <v>0</v>
      </c>
      <c r="EE83" s="409">
        <v>0</v>
      </c>
      <c r="EF83" s="409">
        <v>0</v>
      </c>
      <c r="EG83" s="409">
        <v>0</v>
      </c>
      <c r="EH83" s="409">
        <v>0</v>
      </c>
      <c r="EI83" s="409">
        <v>0</v>
      </c>
      <c r="EJ83" s="409">
        <v>0</v>
      </c>
      <c r="EK83" s="409">
        <v>0</v>
      </c>
      <c r="EL83" s="409">
        <v>0</v>
      </c>
      <c r="EM83" s="409">
        <v>0</v>
      </c>
      <c r="EN83" s="409">
        <v>0</v>
      </c>
      <c r="EO83" s="409">
        <v>0</v>
      </c>
      <c r="EP83" s="409">
        <v>0</v>
      </c>
      <c r="EQ83" s="409">
        <v>0</v>
      </c>
      <c r="ER83" s="409">
        <v>0</v>
      </c>
      <c r="ES83" s="409">
        <v>0</v>
      </c>
      <c r="ET83" s="409">
        <v>0</v>
      </c>
      <c r="EU83" s="409">
        <v>0</v>
      </c>
      <c r="EV83" s="409">
        <v>254</v>
      </c>
      <c r="EW83" s="409">
        <v>0</v>
      </c>
      <c r="EX83" s="409">
        <v>0</v>
      </c>
      <c r="EY83" s="409">
        <v>0</v>
      </c>
      <c r="EZ83" s="409"/>
      <c r="FA83" s="409">
        <v>0</v>
      </c>
      <c r="FB83" s="409"/>
      <c r="FC83" s="409"/>
      <c r="FD83" s="409"/>
      <c r="FE83" s="409"/>
      <c r="FF83" s="409">
        <v>0</v>
      </c>
      <c r="FG83" s="409">
        <v>0</v>
      </c>
      <c r="FH83" s="409">
        <v>0</v>
      </c>
      <c r="FI83" s="409">
        <v>0</v>
      </c>
    </row>
    <row r="84" spans="1:165" s="874" customFormat="1">
      <c r="A84" s="409">
        <v>82</v>
      </c>
      <c r="B84" s="409" t="s">
        <v>1035</v>
      </c>
      <c r="C84" s="409" t="s">
        <v>2244</v>
      </c>
      <c r="D84" s="409" t="s">
        <v>1994</v>
      </c>
      <c r="E84" s="409" t="s">
        <v>1000</v>
      </c>
      <c r="F84" s="409" t="s">
        <v>2259</v>
      </c>
      <c r="G84" s="409" t="s">
        <v>1323</v>
      </c>
      <c r="H84" s="409" t="s">
        <v>1323</v>
      </c>
      <c r="I84" s="409" t="s">
        <v>1323</v>
      </c>
      <c r="J84" s="409" t="s">
        <v>2245</v>
      </c>
      <c r="K84" s="835">
        <v>44378</v>
      </c>
      <c r="L84" s="409">
        <v>0</v>
      </c>
      <c r="M84" s="409">
        <v>0</v>
      </c>
      <c r="N84" s="409">
        <v>64.19</v>
      </c>
      <c r="O84" s="409">
        <v>60.3386</v>
      </c>
      <c r="P84" s="409">
        <v>64.19</v>
      </c>
      <c r="Q84" s="409">
        <v>60.3386</v>
      </c>
      <c r="R84" s="409"/>
      <c r="S84" s="409">
        <v>597.01</v>
      </c>
      <c r="T84" s="409">
        <v>243.39</v>
      </c>
      <c r="U84" s="409"/>
      <c r="V84" s="409">
        <v>53945.275999999998</v>
      </c>
      <c r="W84" s="409">
        <v>53945.275999999998</v>
      </c>
      <c r="X84" s="409">
        <v>48866.563199999997</v>
      </c>
      <c r="Y84" s="409">
        <v>0</v>
      </c>
      <c r="Z84" s="409">
        <v>1597.270418491034</v>
      </c>
      <c r="AA84" s="409">
        <v>0</v>
      </c>
      <c r="AB84" s="409">
        <v>0</v>
      </c>
      <c r="AC84" s="409">
        <v>0</v>
      </c>
      <c r="AD84" s="409">
        <v>7522.3661214926769</v>
      </c>
      <c r="AE84" s="409">
        <v>26320.372904527467</v>
      </c>
      <c r="AF84" s="409">
        <v>15623.027243792751</v>
      </c>
      <c r="AG84" s="409">
        <v>0</v>
      </c>
      <c r="AH84" s="409">
        <v>0</v>
      </c>
      <c r="AI84" s="409">
        <v>0</v>
      </c>
      <c r="AJ84" s="409">
        <v>0</v>
      </c>
      <c r="AK84" s="409">
        <v>0</v>
      </c>
      <c r="AL84" s="409">
        <v>652.11204008326035</v>
      </c>
      <c r="AM84" s="409"/>
      <c r="AN84" s="409">
        <v>110.20597645989066</v>
      </c>
      <c r="AO84" s="409">
        <v>0</v>
      </c>
      <c r="AP84" s="409">
        <v>0</v>
      </c>
      <c r="AQ84" s="409">
        <v>0</v>
      </c>
      <c r="AR84" s="409">
        <v>0</v>
      </c>
      <c r="AS84" s="409">
        <v>0</v>
      </c>
      <c r="AT84" s="409">
        <v>0</v>
      </c>
      <c r="AU84" s="409">
        <v>0</v>
      </c>
      <c r="AV84" s="409">
        <v>0</v>
      </c>
      <c r="AW84" s="409">
        <v>0</v>
      </c>
      <c r="AX84" s="409">
        <v>0</v>
      </c>
      <c r="AY84" s="409">
        <v>0</v>
      </c>
      <c r="AZ84" s="409">
        <v>0</v>
      </c>
      <c r="BA84" s="409"/>
      <c r="BB84" s="409">
        <v>0</v>
      </c>
      <c r="BC84" s="409">
        <v>0</v>
      </c>
      <c r="BD84" s="409">
        <v>0</v>
      </c>
      <c r="BE84" s="409">
        <v>0</v>
      </c>
      <c r="BF84" s="409">
        <v>0</v>
      </c>
      <c r="BG84" s="409">
        <v>2119.5107502157971</v>
      </c>
      <c r="BH84" s="409">
        <v>0</v>
      </c>
      <c r="BI84" s="409">
        <v>0</v>
      </c>
      <c r="BJ84" s="409">
        <v>0</v>
      </c>
      <c r="BK84" s="409">
        <v>0</v>
      </c>
      <c r="BL84" s="409">
        <v>9</v>
      </c>
      <c r="BM84" s="409"/>
      <c r="BN84" s="409"/>
      <c r="BO84" s="409"/>
      <c r="BP84" s="409"/>
      <c r="BQ84" s="409">
        <v>2931.9937919999988</v>
      </c>
      <c r="BR84" s="409"/>
      <c r="BS84" s="409"/>
      <c r="BT84" s="409"/>
      <c r="BU84" s="409"/>
      <c r="BV84" s="409">
        <v>17742.537994008548</v>
      </c>
      <c r="BW84" s="409"/>
      <c r="BX84" s="409"/>
      <c r="BY84" s="409"/>
      <c r="BZ84" s="409"/>
      <c r="CA84" s="409"/>
      <c r="CB84" s="409"/>
      <c r="CC84" s="409"/>
      <c r="CD84" s="409"/>
      <c r="CE84" s="409"/>
      <c r="CF84" s="409"/>
      <c r="CG84" s="409"/>
      <c r="CH84" s="409"/>
      <c r="CI84" s="409">
        <v>45935.635200000004</v>
      </c>
      <c r="CJ84" s="409">
        <v>-4772.9542399999991</v>
      </c>
      <c r="CK84" s="409"/>
      <c r="CL84" s="409"/>
      <c r="CM84" s="409"/>
      <c r="CN84" s="409"/>
      <c r="CO84" s="409">
        <v>-5621.7601999999988</v>
      </c>
      <c r="CP84" s="409">
        <v>543.04740000000049</v>
      </c>
      <c r="CQ84" s="409">
        <v>31</v>
      </c>
      <c r="CR84" s="409">
        <v>954.75069906662975</v>
      </c>
      <c r="CS84" s="409">
        <v>0</v>
      </c>
      <c r="CT84" s="409">
        <v>0</v>
      </c>
      <c r="CU84" s="409">
        <v>0</v>
      </c>
      <c r="CV84" s="409">
        <v>0</v>
      </c>
      <c r="CW84" s="409">
        <v>0</v>
      </c>
      <c r="CX84" s="409">
        <v>0</v>
      </c>
      <c r="CY84" s="409">
        <v>0</v>
      </c>
      <c r="CZ84" s="409">
        <v>282.01815650890512</v>
      </c>
      <c r="DA84" s="409">
        <v>0</v>
      </c>
      <c r="DB84" s="409">
        <v>0</v>
      </c>
      <c r="DC84" s="409">
        <v>715.6894212317402</v>
      </c>
      <c r="DD84" s="409">
        <v>0</v>
      </c>
      <c r="DE84" s="409">
        <v>0</v>
      </c>
      <c r="DF84" s="409">
        <v>0</v>
      </c>
      <c r="DG84" s="409">
        <v>97.094589828550852</v>
      </c>
      <c r="DH84" s="409">
        <v>0</v>
      </c>
      <c r="DI84" s="409">
        <v>-11.648702642733952</v>
      </c>
      <c r="DJ84" s="409"/>
      <c r="DK84" s="409">
        <v>0</v>
      </c>
      <c r="DL84" s="409">
        <v>0</v>
      </c>
      <c r="DM84" s="409">
        <v>0</v>
      </c>
      <c r="DN84" s="409">
        <v>0</v>
      </c>
      <c r="DO84" s="409">
        <v>-3.657665273040493</v>
      </c>
      <c r="DP84" s="409">
        <v>-6.4915007426317715</v>
      </c>
      <c r="DQ84" s="409">
        <v>0</v>
      </c>
      <c r="DR84" s="409">
        <v>-118.25359984416494</v>
      </c>
      <c r="DS84" s="409"/>
      <c r="DT84" s="409"/>
      <c r="DU84" s="409"/>
      <c r="DV84" s="409">
        <v>26320.372904527467</v>
      </c>
      <c r="DW84" s="409">
        <v>0</v>
      </c>
      <c r="DX84" s="409">
        <v>0</v>
      </c>
      <c r="DY84" s="409">
        <v>-5621.760199999997</v>
      </c>
      <c r="DZ84" s="409">
        <v>543.04739999999947</v>
      </c>
      <c r="EA84" s="409">
        <v>0</v>
      </c>
      <c r="EB84" s="409">
        <v>0</v>
      </c>
      <c r="EC84" s="409">
        <v>-6033.248378557153</v>
      </c>
      <c r="ED84" s="409">
        <v>0</v>
      </c>
      <c r="EE84" s="409">
        <v>0</v>
      </c>
      <c r="EF84" s="409">
        <v>0</v>
      </c>
      <c r="EG84" s="409">
        <v>0</v>
      </c>
      <c r="EH84" s="409">
        <v>0</v>
      </c>
      <c r="EI84" s="409">
        <v>0</v>
      </c>
      <c r="EJ84" s="409">
        <v>0</v>
      </c>
      <c r="EK84" s="409">
        <v>0</v>
      </c>
      <c r="EL84" s="409">
        <v>0</v>
      </c>
      <c r="EM84" s="409">
        <v>0</v>
      </c>
      <c r="EN84" s="409">
        <v>0</v>
      </c>
      <c r="EO84" s="409">
        <v>0</v>
      </c>
      <c r="EP84" s="409">
        <v>0</v>
      </c>
      <c r="EQ84" s="409">
        <v>0</v>
      </c>
      <c r="ER84" s="409">
        <v>0</v>
      </c>
      <c r="ES84" s="409">
        <v>0</v>
      </c>
      <c r="ET84" s="409">
        <v>0</v>
      </c>
      <c r="EU84" s="409">
        <v>0</v>
      </c>
      <c r="EV84" s="409">
        <v>254</v>
      </c>
      <c r="EW84" s="409">
        <v>0</v>
      </c>
      <c r="EX84" s="409">
        <v>0</v>
      </c>
      <c r="EY84" s="409">
        <v>0</v>
      </c>
      <c r="EZ84" s="409"/>
      <c r="FA84" s="409">
        <v>0</v>
      </c>
      <c r="FB84" s="409"/>
      <c r="FC84" s="409"/>
      <c r="FD84" s="409"/>
      <c r="FE84" s="409"/>
      <c r="FF84" s="409">
        <v>0</v>
      </c>
      <c r="FG84" s="409">
        <v>0</v>
      </c>
      <c r="FH84" s="409">
        <v>0</v>
      </c>
      <c r="FI84" s="409">
        <v>0</v>
      </c>
    </row>
    <row r="85" spans="1:165" s="874" customFormat="1">
      <c r="A85" s="409">
        <v>83</v>
      </c>
      <c r="B85" s="409" t="s">
        <v>1035</v>
      </c>
      <c r="C85" s="409" t="s">
        <v>2244</v>
      </c>
      <c r="D85" s="409" t="s">
        <v>1994</v>
      </c>
      <c r="E85" s="409" t="s">
        <v>2260</v>
      </c>
      <c r="F85" s="409" t="s">
        <v>1323</v>
      </c>
      <c r="G85" s="409" t="s">
        <v>1323</v>
      </c>
      <c r="H85" s="409" t="s">
        <v>1323</v>
      </c>
      <c r="I85" s="409" t="s">
        <v>1323</v>
      </c>
      <c r="J85" s="409" t="s">
        <v>2245</v>
      </c>
      <c r="K85" s="835">
        <v>44378</v>
      </c>
      <c r="L85" s="409">
        <v>0</v>
      </c>
      <c r="M85" s="409">
        <v>0</v>
      </c>
      <c r="N85" s="409">
        <v>2.1869999999999998</v>
      </c>
      <c r="O85" s="409">
        <v>2.1869999999999998</v>
      </c>
      <c r="P85" s="409">
        <v>2.1869999999999998</v>
      </c>
      <c r="Q85" s="409">
        <v>2.1869999999999998</v>
      </c>
      <c r="R85" s="409"/>
      <c r="S85" s="409">
        <v>597.01</v>
      </c>
      <c r="T85" s="409">
        <v>243.39</v>
      </c>
      <c r="U85" s="409"/>
      <c r="V85" s="409">
        <v>1837.9548</v>
      </c>
      <c r="W85" s="409">
        <v>1837.9548</v>
      </c>
      <c r="X85" s="409">
        <v>1664.9193599999999</v>
      </c>
      <c r="Y85" s="409">
        <v>0</v>
      </c>
      <c r="Z85" s="409">
        <v>54.420165216387147</v>
      </c>
      <c r="AA85" s="409">
        <v>0</v>
      </c>
      <c r="AB85" s="409">
        <v>0</v>
      </c>
      <c r="AC85" s="409">
        <v>0</v>
      </c>
      <c r="AD85" s="409">
        <v>256.29248648861943</v>
      </c>
      <c r="AE85" s="409">
        <v>896.75425365635715</v>
      </c>
      <c r="AF85" s="409">
        <v>532.28790438035116</v>
      </c>
      <c r="AG85" s="409">
        <v>0</v>
      </c>
      <c r="AH85" s="409">
        <v>0</v>
      </c>
      <c r="AI85" s="409">
        <v>0</v>
      </c>
      <c r="AJ85" s="409">
        <v>0</v>
      </c>
      <c r="AK85" s="409">
        <v>0</v>
      </c>
      <c r="AL85" s="409">
        <v>22.217931635178228</v>
      </c>
      <c r="AM85" s="409"/>
      <c r="AN85" s="409">
        <v>3.7547977958837961</v>
      </c>
      <c r="AO85" s="409">
        <v>0</v>
      </c>
      <c r="AP85" s="409">
        <v>0</v>
      </c>
      <c r="AQ85" s="409">
        <v>0</v>
      </c>
      <c r="AR85" s="409">
        <v>0</v>
      </c>
      <c r="AS85" s="409">
        <v>0</v>
      </c>
      <c r="AT85" s="409">
        <v>0</v>
      </c>
      <c r="AU85" s="409">
        <v>0</v>
      </c>
      <c r="AV85" s="409">
        <v>0</v>
      </c>
      <c r="AW85" s="409">
        <v>0</v>
      </c>
      <c r="AX85" s="409">
        <v>0</v>
      </c>
      <c r="AY85" s="409">
        <v>0</v>
      </c>
      <c r="AZ85" s="409">
        <v>0</v>
      </c>
      <c r="BA85" s="409"/>
      <c r="BB85" s="409">
        <v>0</v>
      </c>
      <c r="BC85" s="409">
        <v>0</v>
      </c>
      <c r="BD85" s="409">
        <v>0</v>
      </c>
      <c r="BE85" s="409">
        <v>0</v>
      </c>
      <c r="BF85" s="409">
        <v>0</v>
      </c>
      <c r="BG85" s="409">
        <v>72.213273262532297</v>
      </c>
      <c r="BH85" s="409">
        <v>0</v>
      </c>
      <c r="BI85" s="409">
        <v>0</v>
      </c>
      <c r="BJ85" s="409">
        <v>0</v>
      </c>
      <c r="BK85" s="409">
        <v>564.16999999999996</v>
      </c>
      <c r="BL85" s="409">
        <v>4</v>
      </c>
      <c r="BM85" s="409"/>
      <c r="BN85" s="409"/>
      <c r="BO85" s="409"/>
      <c r="BP85" s="409"/>
      <c r="BQ85" s="409"/>
      <c r="BR85" s="409"/>
      <c r="BS85" s="409"/>
      <c r="BT85" s="409"/>
      <c r="BU85" s="409"/>
      <c r="BV85" s="409">
        <v>604.50117764288348</v>
      </c>
      <c r="BW85" s="409"/>
      <c r="BX85" s="409"/>
      <c r="BY85" s="409"/>
      <c r="BZ85" s="409"/>
      <c r="CA85" s="409"/>
      <c r="CB85" s="409"/>
      <c r="CC85" s="409"/>
      <c r="CD85" s="409"/>
      <c r="CE85" s="409"/>
      <c r="CF85" s="409"/>
      <c r="CG85" s="409"/>
      <c r="CH85" s="409"/>
      <c r="CI85" s="409">
        <v>1667.2031999999999</v>
      </c>
      <c r="CJ85" s="409">
        <v>-170.78160000000003</v>
      </c>
      <c r="CK85" s="409"/>
      <c r="CL85" s="409"/>
      <c r="CM85" s="409"/>
      <c r="CN85" s="409"/>
      <c r="CO85" s="409">
        <v>-191.53745999999995</v>
      </c>
      <c r="CP85" s="409">
        <v>18.502020000000016</v>
      </c>
      <c r="CQ85" s="409">
        <v>31</v>
      </c>
      <c r="CR85" s="409">
        <v>32.529050924734406</v>
      </c>
      <c r="CS85" s="409">
        <v>0</v>
      </c>
      <c r="CT85" s="409">
        <v>0</v>
      </c>
      <c r="CU85" s="409">
        <v>0</v>
      </c>
      <c r="CV85" s="409">
        <v>0</v>
      </c>
      <c r="CW85" s="409">
        <v>0</v>
      </c>
      <c r="CX85" s="409">
        <v>0</v>
      </c>
      <c r="CY85" s="409">
        <v>0</v>
      </c>
      <c r="CZ85" s="409">
        <v>9.6085637682657534</v>
      </c>
      <c r="DA85" s="409">
        <v>0</v>
      </c>
      <c r="DB85" s="409">
        <v>0</v>
      </c>
      <c r="DC85" s="409">
        <v>24.384059265209885</v>
      </c>
      <c r="DD85" s="409">
        <v>0</v>
      </c>
      <c r="DE85" s="409">
        <v>0</v>
      </c>
      <c r="DF85" s="409">
        <v>0</v>
      </c>
      <c r="DG85" s="409">
        <v>3.3080833144577184</v>
      </c>
      <c r="DH85" s="409">
        <v>0</v>
      </c>
      <c r="DI85" s="409">
        <v>-0.39687977379122685</v>
      </c>
      <c r="DJ85" s="409"/>
      <c r="DK85" s="409">
        <v>0</v>
      </c>
      <c r="DL85" s="409">
        <v>0</v>
      </c>
      <c r="DM85" s="409">
        <v>0</v>
      </c>
      <c r="DN85" s="409">
        <v>0</v>
      </c>
      <c r="DO85" s="409">
        <v>-0.12461931690512174</v>
      </c>
      <c r="DP85" s="409">
        <v>-0.22117015304775967</v>
      </c>
      <c r="DQ85" s="409">
        <v>0</v>
      </c>
      <c r="DR85" s="409">
        <v>-4.0289861794545683</v>
      </c>
      <c r="DS85" s="409"/>
      <c r="DT85" s="409"/>
      <c r="DU85" s="409"/>
      <c r="DV85" s="409">
        <v>896.75425365635715</v>
      </c>
      <c r="DW85" s="409">
        <v>0</v>
      </c>
      <c r="DX85" s="409">
        <v>0</v>
      </c>
      <c r="DY85" s="409">
        <v>-191.53746000000001</v>
      </c>
      <c r="DZ85" s="409">
        <v>18.502020000000016</v>
      </c>
      <c r="EA85" s="409">
        <v>0</v>
      </c>
      <c r="EB85" s="409">
        <v>0</v>
      </c>
      <c r="EC85" s="409">
        <v>-205.55716161247062</v>
      </c>
      <c r="ED85" s="409">
        <v>0</v>
      </c>
      <c r="EE85" s="409">
        <v>0</v>
      </c>
      <c r="EF85" s="409">
        <v>0</v>
      </c>
      <c r="EG85" s="409">
        <v>0</v>
      </c>
      <c r="EH85" s="409">
        <v>0</v>
      </c>
      <c r="EI85" s="409">
        <v>0</v>
      </c>
      <c r="EJ85" s="409">
        <v>0</v>
      </c>
      <c r="EK85" s="409">
        <v>0</v>
      </c>
      <c r="EL85" s="409">
        <v>0</v>
      </c>
      <c r="EM85" s="409">
        <v>0</v>
      </c>
      <c r="EN85" s="409">
        <v>0</v>
      </c>
      <c r="EO85" s="409">
        <v>0</v>
      </c>
      <c r="EP85" s="409">
        <v>0</v>
      </c>
      <c r="EQ85" s="409">
        <v>0</v>
      </c>
      <c r="ER85" s="409">
        <v>0</v>
      </c>
      <c r="ES85" s="409">
        <v>0</v>
      </c>
      <c r="ET85" s="409">
        <v>0</v>
      </c>
      <c r="EU85" s="409">
        <v>0</v>
      </c>
      <c r="EV85" s="409">
        <v>254</v>
      </c>
      <c r="EW85" s="409">
        <v>0</v>
      </c>
      <c r="EX85" s="409">
        <v>0</v>
      </c>
      <c r="EY85" s="409">
        <v>0</v>
      </c>
      <c r="EZ85" s="409"/>
      <c r="FA85" s="409">
        <v>0</v>
      </c>
      <c r="FB85" s="409"/>
      <c r="FC85" s="409"/>
      <c r="FD85" s="409"/>
      <c r="FE85" s="409"/>
      <c r="FF85" s="409">
        <v>0</v>
      </c>
      <c r="FG85" s="409">
        <v>0</v>
      </c>
      <c r="FH85" s="409">
        <v>0</v>
      </c>
      <c r="FI85" s="409">
        <v>0</v>
      </c>
    </row>
    <row r="86" spans="1:165" s="874" customFormat="1">
      <c r="A86" s="409">
        <v>84</v>
      </c>
      <c r="B86" s="409" t="s">
        <v>1035</v>
      </c>
      <c r="C86" s="409" t="s">
        <v>2244</v>
      </c>
      <c r="D86" s="409" t="s">
        <v>2254</v>
      </c>
      <c r="E86" s="409" t="s">
        <v>973</v>
      </c>
      <c r="F86" s="409" t="s">
        <v>2261</v>
      </c>
      <c r="G86" s="409" t="s">
        <v>2262</v>
      </c>
      <c r="H86" s="409" t="s">
        <v>1323</v>
      </c>
      <c r="I86" s="409" t="s">
        <v>1323</v>
      </c>
      <c r="J86" s="409" t="s">
        <v>2245</v>
      </c>
      <c r="K86" s="835">
        <v>44378</v>
      </c>
      <c r="L86" s="409">
        <v>0</v>
      </c>
      <c r="M86" s="409">
        <v>0</v>
      </c>
      <c r="N86" s="409">
        <v>0</v>
      </c>
      <c r="O86" s="409">
        <v>0</v>
      </c>
      <c r="P86" s="409">
        <v>0</v>
      </c>
      <c r="Q86" s="409">
        <v>0</v>
      </c>
      <c r="R86" s="409"/>
      <c r="S86" s="409"/>
      <c r="T86" s="409"/>
      <c r="U86" s="409"/>
      <c r="V86" s="409"/>
      <c r="W86" s="409"/>
      <c r="X86" s="409"/>
      <c r="Y86" s="409"/>
      <c r="Z86" s="409"/>
      <c r="AA86" s="409">
        <v>0</v>
      </c>
      <c r="AB86" s="409"/>
      <c r="AC86" s="409"/>
      <c r="AD86" s="409"/>
      <c r="AE86" s="409"/>
      <c r="AF86" s="409"/>
      <c r="AG86" s="409"/>
      <c r="AH86" s="409"/>
      <c r="AI86" s="409"/>
      <c r="AJ86" s="409"/>
      <c r="AK86" s="409"/>
      <c r="AL86" s="409"/>
      <c r="AM86" s="409"/>
      <c r="AN86" s="409"/>
      <c r="AO86" s="409"/>
      <c r="AP86" s="409"/>
      <c r="AQ86" s="409"/>
      <c r="AR86" s="409"/>
      <c r="AS86" s="409"/>
      <c r="AT86" s="409"/>
      <c r="AU86" s="409"/>
      <c r="AV86" s="409"/>
      <c r="AW86" s="409"/>
      <c r="AX86" s="409"/>
      <c r="AY86" s="409"/>
      <c r="AZ86" s="409">
        <v>0</v>
      </c>
      <c r="BA86" s="409"/>
      <c r="BB86" s="409"/>
      <c r="BC86" s="409"/>
      <c r="BD86" s="409"/>
      <c r="BE86" s="409"/>
      <c r="BF86" s="409"/>
      <c r="BG86" s="409"/>
      <c r="BH86" s="409"/>
      <c r="BI86" s="409">
        <v>0</v>
      </c>
      <c r="BJ86" s="409">
        <v>0</v>
      </c>
      <c r="BK86" s="409">
        <v>0</v>
      </c>
      <c r="BL86" s="409">
        <v>7</v>
      </c>
      <c r="BM86" s="409"/>
      <c r="BN86" s="409"/>
      <c r="BO86" s="409"/>
      <c r="BP86" s="409"/>
      <c r="BQ86" s="409"/>
      <c r="BR86" s="409"/>
      <c r="BS86" s="409"/>
      <c r="BT86" s="409"/>
      <c r="BU86" s="409"/>
      <c r="BV86" s="409"/>
      <c r="BW86" s="409"/>
      <c r="BX86" s="409"/>
      <c r="BY86" s="409"/>
      <c r="BZ86" s="409"/>
      <c r="CA86" s="409"/>
      <c r="CB86" s="409"/>
      <c r="CC86" s="409"/>
      <c r="CD86" s="409"/>
      <c r="CE86" s="409"/>
      <c r="CF86" s="409"/>
      <c r="CG86" s="409"/>
      <c r="CH86" s="409"/>
      <c r="CI86" s="409"/>
      <c r="CJ86" s="409">
        <v>-0.03</v>
      </c>
      <c r="CK86" s="409"/>
      <c r="CL86" s="409"/>
      <c r="CM86" s="409"/>
      <c r="CN86" s="409"/>
      <c r="CO86" s="409">
        <v>0</v>
      </c>
      <c r="CP86" s="409">
        <v>0</v>
      </c>
      <c r="CQ86" s="409">
        <v>31</v>
      </c>
      <c r="CR86" s="409"/>
      <c r="CS86" s="409"/>
      <c r="CT86" s="409"/>
      <c r="CU86" s="409"/>
      <c r="CV86" s="409"/>
      <c r="CW86" s="409"/>
      <c r="CX86" s="409"/>
      <c r="CY86" s="409"/>
      <c r="CZ86" s="409"/>
      <c r="DA86" s="409"/>
      <c r="DB86" s="409"/>
      <c r="DC86" s="409"/>
      <c r="DD86" s="409"/>
      <c r="DE86" s="409"/>
      <c r="DF86" s="409"/>
      <c r="DG86" s="409"/>
      <c r="DH86" s="409"/>
      <c r="DI86" s="409"/>
      <c r="DJ86" s="409"/>
      <c r="DK86" s="409">
        <v>0</v>
      </c>
      <c r="DL86" s="409"/>
      <c r="DM86" s="409"/>
      <c r="DN86" s="409"/>
      <c r="DO86" s="409"/>
      <c r="DP86" s="409"/>
      <c r="DQ86" s="409"/>
      <c r="DR86" s="409"/>
      <c r="DS86" s="409"/>
      <c r="DT86" s="409"/>
      <c r="DU86" s="409"/>
      <c r="DV86" s="409"/>
      <c r="DW86" s="409"/>
      <c r="DX86" s="409"/>
      <c r="DY86" s="409"/>
      <c r="DZ86" s="409"/>
      <c r="EA86" s="409"/>
      <c r="EB86" s="409"/>
      <c r="EC86" s="409"/>
      <c r="ED86" s="409"/>
      <c r="EE86" s="409"/>
      <c r="EF86" s="409"/>
      <c r="EG86" s="409"/>
      <c r="EH86" s="409"/>
      <c r="EI86" s="409"/>
      <c r="EJ86" s="409"/>
      <c r="EK86" s="409"/>
      <c r="EL86" s="409"/>
      <c r="EM86" s="409"/>
      <c r="EN86" s="409"/>
      <c r="EO86" s="409"/>
      <c r="EP86" s="409"/>
      <c r="EQ86" s="409"/>
      <c r="ER86" s="409"/>
      <c r="ES86" s="409"/>
      <c r="ET86" s="409"/>
      <c r="EU86" s="409"/>
      <c r="EV86" s="409">
        <v>254</v>
      </c>
      <c r="EW86" s="409"/>
      <c r="EX86" s="409"/>
      <c r="EY86" s="409"/>
      <c r="EZ86" s="409"/>
      <c r="FA86" s="409">
        <v>0</v>
      </c>
      <c r="FB86" s="409"/>
      <c r="FC86" s="409"/>
      <c r="FD86" s="409"/>
      <c r="FE86" s="409"/>
      <c r="FF86" s="409">
        <v>0</v>
      </c>
      <c r="FG86" s="409">
        <v>0</v>
      </c>
      <c r="FH86" s="409">
        <v>0</v>
      </c>
      <c r="FI86" s="409">
        <v>0</v>
      </c>
    </row>
    <row r="87" spans="1:165" s="874" customFormat="1">
      <c r="A87" s="409">
        <v>85</v>
      </c>
      <c r="B87" s="409" t="s">
        <v>1035</v>
      </c>
      <c r="C87" s="409" t="s">
        <v>2244</v>
      </c>
      <c r="D87" s="409" t="s">
        <v>2254</v>
      </c>
      <c r="E87" s="409" t="s">
        <v>973</v>
      </c>
      <c r="F87" s="409" t="s">
        <v>2261</v>
      </c>
      <c r="G87" s="409" t="s">
        <v>2262</v>
      </c>
      <c r="H87" s="409" t="s">
        <v>1323</v>
      </c>
      <c r="I87" s="409" t="s">
        <v>1323</v>
      </c>
      <c r="J87" s="409" t="s">
        <v>2245</v>
      </c>
      <c r="K87" s="835">
        <v>44378</v>
      </c>
      <c r="L87" s="409">
        <v>0</v>
      </c>
      <c r="M87" s="409">
        <v>0</v>
      </c>
      <c r="N87" s="409">
        <v>1.7809999999999999</v>
      </c>
      <c r="O87" s="409">
        <v>1.7809999999999999</v>
      </c>
      <c r="P87" s="409">
        <v>1.7809999999999999</v>
      </c>
      <c r="Q87" s="409">
        <v>1.7809999999999999</v>
      </c>
      <c r="R87" s="409"/>
      <c r="S87" s="409">
        <v>597.01</v>
      </c>
      <c r="T87" s="409">
        <v>243.39</v>
      </c>
      <c r="U87" s="409"/>
      <c r="V87" s="409">
        <v>1496.7523999999999</v>
      </c>
      <c r="W87" s="409">
        <v>1496.7523999999999</v>
      </c>
      <c r="X87" s="409">
        <v>1355.83968</v>
      </c>
      <c r="Y87" s="409">
        <v>0</v>
      </c>
      <c r="Z87" s="409">
        <v>44.317473365516925</v>
      </c>
      <c r="AA87" s="409">
        <v>0</v>
      </c>
      <c r="AB87" s="409">
        <v>0</v>
      </c>
      <c r="AC87" s="409">
        <v>0</v>
      </c>
      <c r="AD87" s="409">
        <v>208.71372585104311</v>
      </c>
      <c r="AE87" s="409">
        <v>730.27861260263933</v>
      </c>
      <c r="AF87" s="409">
        <v>433.47268299104047</v>
      </c>
      <c r="AG87" s="409">
        <v>0</v>
      </c>
      <c r="AH87" s="409">
        <v>0</v>
      </c>
      <c r="AI87" s="409">
        <v>0</v>
      </c>
      <c r="AJ87" s="409">
        <v>0</v>
      </c>
      <c r="AK87" s="409">
        <v>0</v>
      </c>
      <c r="AL87" s="409">
        <v>18.093340760060549</v>
      </c>
      <c r="AM87" s="409"/>
      <c r="AN87" s="409">
        <v>3.057747999299973</v>
      </c>
      <c r="AO87" s="409">
        <v>0</v>
      </c>
      <c r="AP87" s="409">
        <v>0</v>
      </c>
      <c r="AQ87" s="409">
        <v>0</v>
      </c>
      <c r="AR87" s="409">
        <v>0</v>
      </c>
      <c r="AS87" s="409">
        <v>0</v>
      </c>
      <c r="AT87" s="409">
        <v>0</v>
      </c>
      <c r="AU87" s="409">
        <v>0</v>
      </c>
      <c r="AV87" s="409">
        <v>0</v>
      </c>
      <c r="AW87" s="409">
        <v>0</v>
      </c>
      <c r="AX87" s="409">
        <v>0</v>
      </c>
      <c r="AY87" s="409">
        <v>0</v>
      </c>
      <c r="AZ87" s="409">
        <v>0</v>
      </c>
      <c r="BA87" s="409"/>
      <c r="BB87" s="409">
        <v>0</v>
      </c>
      <c r="BC87" s="409">
        <v>0</v>
      </c>
      <c r="BD87" s="409">
        <v>0</v>
      </c>
      <c r="BE87" s="409">
        <v>0</v>
      </c>
      <c r="BF87" s="409">
        <v>0</v>
      </c>
      <c r="BG87" s="409">
        <v>58.807425551243718</v>
      </c>
      <c r="BH87" s="409">
        <v>0</v>
      </c>
      <c r="BI87" s="409">
        <v>0</v>
      </c>
      <c r="BJ87" s="409">
        <v>0</v>
      </c>
      <c r="BK87" s="409">
        <v>0</v>
      </c>
      <c r="BL87" s="409">
        <v>0</v>
      </c>
      <c r="BM87" s="409"/>
      <c r="BN87" s="409"/>
      <c r="BO87" s="409"/>
      <c r="BP87" s="409"/>
      <c r="BQ87" s="409"/>
      <c r="BR87" s="409">
        <v>162.71215999999995</v>
      </c>
      <c r="BS87" s="409"/>
      <c r="BT87" s="409"/>
      <c r="BU87" s="409"/>
      <c r="BV87" s="409">
        <v>492.28010854228421</v>
      </c>
      <c r="BW87" s="409"/>
      <c r="BX87" s="409"/>
      <c r="BY87" s="409"/>
      <c r="BZ87" s="409"/>
      <c r="CA87" s="409"/>
      <c r="CB87" s="409"/>
      <c r="CC87" s="409"/>
      <c r="CD87" s="409"/>
      <c r="CE87" s="409"/>
      <c r="CF87" s="409"/>
      <c r="CG87" s="409"/>
      <c r="CH87" s="409"/>
      <c r="CI87" s="409">
        <v>1192.4576000000002</v>
      </c>
      <c r="CJ87" s="409">
        <v>-124.71094999999968</v>
      </c>
      <c r="CK87" s="409"/>
      <c r="CL87" s="409"/>
      <c r="CM87" s="409"/>
      <c r="CN87" s="409"/>
      <c r="CO87" s="409">
        <v>-155.97997999999995</v>
      </c>
      <c r="CP87" s="409">
        <v>15.067260000000013</v>
      </c>
      <c r="CQ87" s="409">
        <v>31</v>
      </c>
      <c r="CR87" s="409">
        <v>26.490278782328346</v>
      </c>
      <c r="CS87" s="409">
        <v>0</v>
      </c>
      <c r="CT87" s="409">
        <v>0</v>
      </c>
      <c r="CU87" s="409">
        <v>0</v>
      </c>
      <c r="CV87" s="409">
        <v>0</v>
      </c>
      <c r="CW87" s="409">
        <v>0</v>
      </c>
      <c r="CX87" s="409">
        <v>0</v>
      </c>
      <c r="CY87" s="409">
        <v>0</v>
      </c>
      <c r="CZ87" s="409">
        <v>7.8248066169552999</v>
      </c>
      <c r="DA87" s="409">
        <v>0</v>
      </c>
      <c r="DB87" s="409">
        <v>0</v>
      </c>
      <c r="DC87" s="409">
        <v>19.85734318762627</v>
      </c>
      <c r="DD87" s="409">
        <v>0</v>
      </c>
      <c r="DE87" s="409">
        <v>0</v>
      </c>
      <c r="DF87" s="409">
        <v>0</v>
      </c>
      <c r="DG87" s="409">
        <v>2.6939626808638337</v>
      </c>
      <c r="DH87" s="409">
        <v>0</v>
      </c>
      <c r="DI87" s="409">
        <v>-0.32320204715234269</v>
      </c>
      <c r="DJ87" s="409"/>
      <c r="DK87" s="409">
        <v>0</v>
      </c>
      <c r="DL87" s="409">
        <v>0</v>
      </c>
      <c r="DM87" s="409">
        <v>0</v>
      </c>
      <c r="DN87" s="409">
        <v>0</v>
      </c>
      <c r="DO87" s="409">
        <v>-0.10148468377138187</v>
      </c>
      <c r="DP87" s="409">
        <v>-0.18011158782718795</v>
      </c>
      <c r="DQ87" s="409">
        <v>0</v>
      </c>
      <c r="DR87" s="409">
        <v>-3.2810353843660653</v>
      </c>
      <c r="DS87" s="409"/>
      <c r="DT87" s="409"/>
      <c r="DU87" s="409"/>
      <c r="DV87" s="409">
        <v>730.27861260263933</v>
      </c>
      <c r="DW87" s="409">
        <v>0</v>
      </c>
      <c r="DX87" s="409">
        <v>0</v>
      </c>
      <c r="DY87" s="409">
        <v>-155.97997999999995</v>
      </c>
      <c r="DZ87" s="409">
        <v>15.067260000000033</v>
      </c>
      <c r="EA87" s="409">
        <v>0</v>
      </c>
      <c r="EB87" s="409">
        <v>0</v>
      </c>
      <c r="EC87" s="409">
        <v>-167.39703010142216</v>
      </c>
      <c r="ED87" s="409">
        <v>0</v>
      </c>
      <c r="EE87" s="409">
        <v>0</v>
      </c>
      <c r="EF87" s="409">
        <v>0</v>
      </c>
      <c r="EG87" s="409">
        <v>0</v>
      </c>
      <c r="EH87" s="409">
        <v>0</v>
      </c>
      <c r="EI87" s="409">
        <v>0</v>
      </c>
      <c r="EJ87" s="409">
        <v>0</v>
      </c>
      <c r="EK87" s="409">
        <v>0</v>
      </c>
      <c r="EL87" s="409">
        <v>0</v>
      </c>
      <c r="EM87" s="409">
        <v>0</v>
      </c>
      <c r="EN87" s="409">
        <v>0</v>
      </c>
      <c r="EO87" s="409">
        <v>0</v>
      </c>
      <c r="EP87" s="409">
        <v>0</v>
      </c>
      <c r="EQ87" s="409">
        <v>0</v>
      </c>
      <c r="ER87" s="409">
        <v>0</v>
      </c>
      <c r="ES87" s="409">
        <v>0</v>
      </c>
      <c r="ET87" s="409">
        <v>0</v>
      </c>
      <c r="EU87" s="409">
        <v>0</v>
      </c>
      <c r="EV87" s="409">
        <v>254</v>
      </c>
      <c r="EW87" s="409">
        <v>0</v>
      </c>
      <c r="EX87" s="409">
        <v>0</v>
      </c>
      <c r="EY87" s="409">
        <v>0</v>
      </c>
      <c r="EZ87" s="409"/>
      <c r="FA87" s="409">
        <v>0</v>
      </c>
      <c r="FB87" s="409"/>
      <c r="FC87" s="409"/>
      <c r="FD87" s="409"/>
      <c r="FE87" s="409"/>
      <c r="FF87" s="409">
        <v>0</v>
      </c>
      <c r="FG87" s="409">
        <v>0</v>
      </c>
      <c r="FH87" s="409">
        <v>0</v>
      </c>
      <c r="FI87" s="409">
        <v>0</v>
      </c>
    </row>
    <row r="88" spans="1:165" s="874" customFormat="1">
      <c r="A88" s="409">
        <v>86</v>
      </c>
      <c r="B88" s="409" t="s">
        <v>1035</v>
      </c>
      <c r="C88" s="409" t="s">
        <v>2244</v>
      </c>
      <c r="D88" s="409" t="s">
        <v>2254</v>
      </c>
      <c r="E88" s="409" t="s">
        <v>973</v>
      </c>
      <c r="F88" s="409" t="s">
        <v>2261</v>
      </c>
      <c r="G88" s="409" t="s">
        <v>2263</v>
      </c>
      <c r="H88" s="409" t="s">
        <v>1323</v>
      </c>
      <c r="I88" s="409" t="s">
        <v>1323</v>
      </c>
      <c r="J88" s="409" t="s">
        <v>2245</v>
      </c>
      <c r="K88" s="835">
        <v>44378</v>
      </c>
      <c r="L88" s="409">
        <v>0</v>
      </c>
      <c r="M88" s="409">
        <v>0</v>
      </c>
      <c r="N88" s="409">
        <v>0.56999999999999995</v>
      </c>
      <c r="O88" s="409">
        <v>0.15390000000000001</v>
      </c>
      <c r="P88" s="409">
        <v>0.56999999999999995</v>
      </c>
      <c r="Q88" s="409">
        <v>0.15390000000000001</v>
      </c>
      <c r="R88" s="409"/>
      <c r="S88" s="409">
        <v>597.01</v>
      </c>
      <c r="T88" s="409">
        <v>243.39</v>
      </c>
      <c r="U88" s="409"/>
      <c r="V88" s="409">
        <v>479.02799999999991</v>
      </c>
      <c r="W88" s="409">
        <v>479.02799999999991</v>
      </c>
      <c r="X88" s="409">
        <v>433.92959999999994</v>
      </c>
      <c r="Y88" s="409">
        <v>0</v>
      </c>
      <c r="Z88" s="409">
        <v>14.183582155162631</v>
      </c>
      <c r="AA88" s="409">
        <v>0</v>
      </c>
      <c r="AB88" s="409">
        <v>0</v>
      </c>
      <c r="AC88" s="409">
        <v>0</v>
      </c>
      <c r="AD88" s="409">
        <v>66.797767397582575</v>
      </c>
      <c r="AE88" s="409">
        <v>233.72195911482561</v>
      </c>
      <c r="AF88" s="409">
        <v>138.73072953671704</v>
      </c>
      <c r="AG88" s="409">
        <v>0</v>
      </c>
      <c r="AH88" s="409">
        <v>0</v>
      </c>
      <c r="AI88" s="409">
        <v>0</v>
      </c>
      <c r="AJ88" s="409">
        <v>0</v>
      </c>
      <c r="AK88" s="409">
        <v>0</v>
      </c>
      <c r="AL88" s="409">
        <v>5.790681770485409</v>
      </c>
      <c r="AM88" s="409"/>
      <c r="AN88" s="409">
        <v>0.97861670948960389</v>
      </c>
      <c r="AO88" s="409">
        <v>0</v>
      </c>
      <c r="AP88" s="409">
        <v>0</v>
      </c>
      <c r="AQ88" s="409">
        <v>0</v>
      </c>
      <c r="AR88" s="409">
        <v>0</v>
      </c>
      <c r="AS88" s="409">
        <v>0</v>
      </c>
      <c r="AT88" s="409">
        <v>0</v>
      </c>
      <c r="AU88" s="409">
        <v>0</v>
      </c>
      <c r="AV88" s="409">
        <v>0</v>
      </c>
      <c r="AW88" s="409">
        <v>0</v>
      </c>
      <c r="AX88" s="409">
        <v>0</v>
      </c>
      <c r="AY88" s="409">
        <v>0</v>
      </c>
      <c r="AZ88" s="409">
        <v>0</v>
      </c>
      <c r="BA88" s="409"/>
      <c r="BB88" s="409">
        <v>0</v>
      </c>
      <c r="BC88" s="409">
        <v>0</v>
      </c>
      <c r="BD88" s="409">
        <v>0</v>
      </c>
      <c r="BE88" s="409">
        <v>0</v>
      </c>
      <c r="BF88" s="409">
        <v>0</v>
      </c>
      <c r="BG88" s="409">
        <v>18.82101772274504</v>
      </c>
      <c r="BH88" s="409">
        <v>0</v>
      </c>
      <c r="BI88" s="409">
        <v>0</v>
      </c>
      <c r="BJ88" s="409">
        <v>0</v>
      </c>
      <c r="BK88" s="409">
        <v>0</v>
      </c>
      <c r="BL88" s="409">
        <v>0</v>
      </c>
      <c r="BM88" s="409"/>
      <c r="BN88" s="409"/>
      <c r="BO88" s="409"/>
      <c r="BP88" s="409"/>
      <c r="BQ88" s="409"/>
      <c r="BR88" s="409"/>
      <c r="BS88" s="409">
        <v>330.82891199999989</v>
      </c>
      <c r="BT88" s="409"/>
      <c r="BU88" s="409"/>
      <c r="BV88" s="409">
        <v>157.55174725946208</v>
      </c>
      <c r="BW88" s="409"/>
      <c r="BX88" s="409"/>
      <c r="BY88" s="409"/>
      <c r="BZ88" s="409"/>
      <c r="CA88" s="409"/>
      <c r="CB88" s="409"/>
      <c r="CC88" s="409"/>
      <c r="CD88" s="409"/>
      <c r="CE88" s="409"/>
      <c r="CF88" s="409"/>
      <c r="CG88" s="409"/>
      <c r="CH88" s="409"/>
      <c r="CI88" s="409">
        <v>100.488</v>
      </c>
      <c r="CJ88" s="409">
        <v>-13.358745000000013</v>
      </c>
      <c r="CK88" s="409"/>
      <c r="CL88" s="409"/>
      <c r="CM88" s="409"/>
      <c r="CN88" s="409"/>
      <c r="CO88" s="409">
        <v>-49.920599999999986</v>
      </c>
      <c r="CP88" s="409">
        <v>4.822200000000004</v>
      </c>
      <c r="CQ88" s="409">
        <v>31</v>
      </c>
      <c r="CR88" s="409">
        <v>8.4780791161859383</v>
      </c>
      <c r="CS88" s="409">
        <v>0</v>
      </c>
      <c r="CT88" s="409">
        <v>0</v>
      </c>
      <c r="CU88" s="409">
        <v>0</v>
      </c>
      <c r="CV88" s="409">
        <v>0</v>
      </c>
      <c r="CW88" s="409">
        <v>0</v>
      </c>
      <c r="CX88" s="409">
        <v>0</v>
      </c>
      <c r="CY88" s="409">
        <v>0</v>
      </c>
      <c r="CZ88" s="409">
        <v>2.5042895966673342</v>
      </c>
      <c r="DA88" s="409">
        <v>0</v>
      </c>
      <c r="DB88" s="409">
        <v>0</v>
      </c>
      <c r="DC88" s="409">
        <v>6.3552417837995563</v>
      </c>
      <c r="DD88" s="409">
        <v>0</v>
      </c>
      <c r="DE88" s="409">
        <v>0</v>
      </c>
      <c r="DF88" s="409">
        <v>0</v>
      </c>
      <c r="DG88" s="409">
        <v>0.86218906686826813</v>
      </c>
      <c r="DH88" s="409">
        <v>0</v>
      </c>
      <c r="DI88" s="409">
        <v>-0.10343917286739845</v>
      </c>
      <c r="DJ88" s="409"/>
      <c r="DK88" s="409">
        <v>0</v>
      </c>
      <c r="DL88" s="409">
        <v>0</v>
      </c>
      <c r="DM88" s="409">
        <v>0</v>
      </c>
      <c r="DN88" s="409">
        <v>0</v>
      </c>
      <c r="DO88" s="409">
        <v>-3.2479657355243496E-2</v>
      </c>
      <c r="DP88" s="409">
        <v>-5.7643798462379103E-2</v>
      </c>
      <c r="DQ88" s="409">
        <v>0</v>
      </c>
      <c r="DR88" s="409">
        <v>-1.0500787024641536</v>
      </c>
      <c r="DS88" s="409"/>
      <c r="DT88" s="409"/>
      <c r="DU88" s="409"/>
      <c r="DV88" s="409">
        <v>233.72195911482561</v>
      </c>
      <c r="DW88" s="409">
        <v>0</v>
      </c>
      <c r="DX88" s="409">
        <v>0</v>
      </c>
      <c r="DY88" s="409">
        <v>-49.920599999999979</v>
      </c>
      <c r="DZ88" s="409">
        <v>4.8222000000000094</v>
      </c>
      <c r="EA88" s="409">
        <v>0</v>
      </c>
      <c r="EB88" s="409">
        <v>0</v>
      </c>
      <c r="EC88" s="409">
        <v>-53.574568870191285</v>
      </c>
      <c r="ED88" s="409">
        <v>0</v>
      </c>
      <c r="EE88" s="409">
        <v>0</v>
      </c>
      <c r="EF88" s="409">
        <v>0</v>
      </c>
      <c r="EG88" s="409">
        <v>0</v>
      </c>
      <c r="EH88" s="409">
        <v>0</v>
      </c>
      <c r="EI88" s="409">
        <v>0</v>
      </c>
      <c r="EJ88" s="409">
        <v>0</v>
      </c>
      <c r="EK88" s="409">
        <v>0</v>
      </c>
      <c r="EL88" s="409">
        <v>0</v>
      </c>
      <c r="EM88" s="409">
        <v>0</v>
      </c>
      <c r="EN88" s="409">
        <v>0</v>
      </c>
      <c r="EO88" s="409">
        <v>0</v>
      </c>
      <c r="EP88" s="409">
        <v>0</v>
      </c>
      <c r="EQ88" s="409">
        <v>0</v>
      </c>
      <c r="ER88" s="409">
        <v>0</v>
      </c>
      <c r="ES88" s="409">
        <v>0</v>
      </c>
      <c r="ET88" s="409">
        <v>0</v>
      </c>
      <c r="EU88" s="409">
        <v>0</v>
      </c>
      <c r="EV88" s="409">
        <v>254</v>
      </c>
      <c r="EW88" s="409">
        <v>0</v>
      </c>
      <c r="EX88" s="409">
        <v>0</v>
      </c>
      <c r="EY88" s="409">
        <v>0</v>
      </c>
      <c r="EZ88" s="409"/>
      <c r="FA88" s="409">
        <v>0</v>
      </c>
      <c r="FB88" s="409"/>
      <c r="FC88" s="409"/>
      <c r="FD88" s="409"/>
      <c r="FE88" s="409"/>
      <c r="FF88" s="409">
        <v>0</v>
      </c>
      <c r="FG88" s="409">
        <v>0</v>
      </c>
      <c r="FH88" s="409">
        <v>0</v>
      </c>
      <c r="FI88" s="409">
        <v>0</v>
      </c>
    </row>
    <row r="89" spans="1:165" s="874" customFormat="1">
      <c r="A89" s="409">
        <v>87</v>
      </c>
      <c r="B89" s="409" t="s">
        <v>1035</v>
      </c>
      <c r="C89" s="409" t="s">
        <v>2244</v>
      </c>
      <c r="D89" s="409" t="s">
        <v>1991</v>
      </c>
      <c r="E89" s="409" t="s">
        <v>968</v>
      </c>
      <c r="F89" s="409" t="s">
        <v>968</v>
      </c>
      <c r="G89" s="409" t="s">
        <v>1323</v>
      </c>
      <c r="H89" s="409" t="s">
        <v>1323</v>
      </c>
      <c r="I89" s="409" t="s">
        <v>1323</v>
      </c>
      <c r="J89" s="409" t="s">
        <v>2245</v>
      </c>
      <c r="K89" s="835">
        <v>44409</v>
      </c>
      <c r="L89" s="409">
        <v>0</v>
      </c>
      <c r="M89" s="409">
        <v>0</v>
      </c>
      <c r="N89" s="409">
        <v>196.482</v>
      </c>
      <c r="O89" s="409">
        <v>196.482</v>
      </c>
      <c r="P89" s="409">
        <v>196.482</v>
      </c>
      <c r="Q89" s="409">
        <v>196.482</v>
      </c>
      <c r="R89" s="409"/>
      <c r="S89" s="409">
        <v>597.01</v>
      </c>
      <c r="T89" s="409">
        <v>243.39</v>
      </c>
      <c r="U89" s="409"/>
      <c r="V89" s="409">
        <v>165123.47279999999</v>
      </c>
      <c r="W89" s="409">
        <v>165123.47279999999</v>
      </c>
      <c r="X89" s="409">
        <v>149577.81696</v>
      </c>
      <c r="Y89" s="409">
        <v>0</v>
      </c>
      <c r="Z89" s="409">
        <v>4889.155419316955</v>
      </c>
      <c r="AA89" s="409">
        <v>0</v>
      </c>
      <c r="AB89" s="409">
        <v>0</v>
      </c>
      <c r="AC89" s="409">
        <v>0</v>
      </c>
      <c r="AD89" s="409">
        <v>23025.541989143545</v>
      </c>
      <c r="AE89" s="409">
        <v>80565.189422454685</v>
      </c>
      <c r="AF89" s="409">
        <v>47821.21263304077</v>
      </c>
      <c r="AG89" s="409">
        <v>0</v>
      </c>
      <c r="AH89" s="409">
        <v>0</v>
      </c>
      <c r="AI89" s="409">
        <v>0</v>
      </c>
      <c r="AJ89" s="409">
        <v>0</v>
      </c>
      <c r="AK89" s="409">
        <v>0</v>
      </c>
      <c r="AL89" s="409">
        <v>1996.078483558797</v>
      </c>
      <c r="AM89" s="409"/>
      <c r="AN89" s="409">
        <v>337.33433037532694</v>
      </c>
      <c r="AO89" s="409">
        <v>0</v>
      </c>
      <c r="AP89" s="409">
        <v>0</v>
      </c>
      <c r="AQ89" s="409">
        <v>0</v>
      </c>
      <c r="AR89" s="409">
        <v>0</v>
      </c>
      <c r="AS89" s="409">
        <v>0</v>
      </c>
      <c r="AT89" s="409">
        <v>0</v>
      </c>
      <c r="AU89" s="409">
        <v>0</v>
      </c>
      <c r="AV89" s="409">
        <v>0</v>
      </c>
      <c r="AW89" s="409">
        <v>0</v>
      </c>
      <c r="AX89" s="409">
        <v>0</v>
      </c>
      <c r="AY89" s="409">
        <v>0</v>
      </c>
      <c r="AZ89" s="409">
        <v>0</v>
      </c>
      <c r="BA89" s="409"/>
      <c r="BB89" s="409">
        <v>0</v>
      </c>
      <c r="BC89" s="409">
        <v>0</v>
      </c>
      <c r="BD89" s="409">
        <v>0</v>
      </c>
      <c r="BE89" s="409">
        <v>0</v>
      </c>
      <c r="BF89" s="409">
        <v>0</v>
      </c>
      <c r="BG89" s="409">
        <v>6487.703867018231</v>
      </c>
      <c r="BH89" s="409">
        <v>0</v>
      </c>
      <c r="BI89" s="409">
        <v>44.33</v>
      </c>
      <c r="BJ89" s="409">
        <v>204.24</v>
      </c>
      <c r="BK89" s="409">
        <v>1447.71</v>
      </c>
      <c r="BL89" s="409">
        <v>2005</v>
      </c>
      <c r="BM89" s="409"/>
      <c r="BN89" s="409"/>
      <c r="BO89" s="409"/>
      <c r="BP89" s="409"/>
      <c r="BQ89" s="409"/>
      <c r="BR89" s="409"/>
      <c r="BS89" s="409"/>
      <c r="BT89" s="409"/>
      <c r="BU89" s="409"/>
      <c r="BV89" s="409">
        <v>54308.916500059</v>
      </c>
      <c r="BW89" s="409"/>
      <c r="BX89" s="409"/>
      <c r="BY89" s="409"/>
      <c r="BZ89" s="409"/>
      <c r="CA89" s="409"/>
      <c r="CB89" s="409"/>
      <c r="CC89" s="409"/>
      <c r="CD89" s="409"/>
      <c r="CE89" s="409"/>
      <c r="CF89" s="409"/>
      <c r="CG89" s="409"/>
      <c r="CH89" s="409"/>
      <c r="CI89" s="409">
        <v>149576.29440000001</v>
      </c>
      <c r="CJ89" s="409">
        <v>-15547.208399999974</v>
      </c>
      <c r="CK89" s="409"/>
      <c r="CL89" s="409"/>
      <c r="CM89" s="409"/>
      <c r="CN89" s="409"/>
      <c r="CO89" s="409">
        <v>-17207.893559999997</v>
      </c>
      <c r="CP89" s="409">
        <v>1662.2377200000014</v>
      </c>
      <c r="CQ89" s="409">
        <v>31</v>
      </c>
      <c r="CR89" s="409">
        <v>2922.4384928183426</v>
      </c>
      <c r="CS89" s="409">
        <v>0</v>
      </c>
      <c r="CT89" s="409">
        <v>0</v>
      </c>
      <c r="CU89" s="409">
        <v>0</v>
      </c>
      <c r="CV89" s="409">
        <v>0</v>
      </c>
      <c r="CW89" s="409">
        <v>0</v>
      </c>
      <c r="CX89" s="409">
        <v>0</v>
      </c>
      <c r="CY89" s="409">
        <v>0</v>
      </c>
      <c r="CZ89" s="409">
        <v>863.24180444279045</v>
      </c>
      <c r="DA89" s="409">
        <v>0</v>
      </c>
      <c r="DB89" s="409">
        <v>0</v>
      </c>
      <c r="DC89" s="409">
        <v>2190.6852915166746</v>
      </c>
      <c r="DD89" s="409">
        <v>0</v>
      </c>
      <c r="DE89" s="409">
        <v>0</v>
      </c>
      <c r="DF89" s="409">
        <v>0</v>
      </c>
      <c r="DG89" s="409">
        <v>297.20110918668524</v>
      </c>
      <c r="DH89" s="409">
        <v>0</v>
      </c>
      <c r="DI89" s="409">
        <v>-35.656027304091367</v>
      </c>
      <c r="DJ89" s="409"/>
      <c r="DK89" s="409">
        <v>0</v>
      </c>
      <c r="DL89" s="409">
        <v>0</v>
      </c>
      <c r="DM89" s="409">
        <v>0</v>
      </c>
      <c r="DN89" s="409">
        <v>0</v>
      </c>
      <c r="DO89" s="409">
        <v>-11.195908835917635</v>
      </c>
      <c r="DP89" s="409">
        <v>-19.870120718395015</v>
      </c>
      <c r="DQ89" s="409">
        <v>0</v>
      </c>
      <c r="DR89" s="409">
        <v>-361.96765546940679</v>
      </c>
      <c r="DS89" s="409"/>
      <c r="DT89" s="409"/>
      <c r="DU89" s="409"/>
      <c r="DV89" s="409">
        <v>80565.189422454685</v>
      </c>
      <c r="DW89" s="409">
        <v>0</v>
      </c>
      <c r="DX89" s="409">
        <v>0</v>
      </c>
      <c r="DY89" s="409">
        <v>-17207.893559999997</v>
      </c>
      <c r="DZ89" s="409">
        <v>1662.2377200000046</v>
      </c>
      <c r="EA89" s="409">
        <v>0</v>
      </c>
      <c r="EB89" s="409">
        <v>0</v>
      </c>
      <c r="EC89" s="409">
        <v>-18467.435860970043</v>
      </c>
      <c r="ED89" s="409">
        <v>0</v>
      </c>
      <c r="EE89" s="409">
        <v>0</v>
      </c>
      <c r="EF89" s="409">
        <v>0</v>
      </c>
      <c r="EG89" s="409">
        <v>0</v>
      </c>
      <c r="EH89" s="409">
        <v>0</v>
      </c>
      <c r="EI89" s="409">
        <v>0</v>
      </c>
      <c r="EJ89" s="409">
        <v>0</v>
      </c>
      <c r="EK89" s="409">
        <v>0</v>
      </c>
      <c r="EL89" s="409">
        <v>0</v>
      </c>
      <c r="EM89" s="409">
        <v>0</v>
      </c>
      <c r="EN89" s="409">
        <v>0</v>
      </c>
      <c r="EO89" s="409">
        <v>0</v>
      </c>
      <c r="EP89" s="409">
        <v>0</v>
      </c>
      <c r="EQ89" s="409">
        <v>0</v>
      </c>
      <c r="ER89" s="409">
        <v>0</v>
      </c>
      <c r="ES89" s="409">
        <v>0</v>
      </c>
      <c r="ET89" s="409">
        <v>0</v>
      </c>
      <c r="EU89" s="409">
        <v>0</v>
      </c>
      <c r="EV89" s="409">
        <v>254</v>
      </c>
      <c r="EW89" s="409">
        <v>0</v>
      </c>
      <c r="EX89" s="409">
        <v>0</v>
      </c>
      <c r="EY89" s="409">
        <v>0</v>
      </c>
      <c r="EZ89" s="409"/>
      <c r="FA89" s="409">
        <v>0</v>
      </c>
      <c r="FB89" s="409"/>
      <c r="FC89" s="409"/>
      <c r="FD89" s="409"/>
      <c r="FE89" s="409"/>
      <c r="FF89" s="409">
        <v>0</v>
      </c>
      <c r="FG89" s="409">
        <v>0</v>
      </c>
      <c r="FH89" s="409">
        <v>0</v>
      </c>
      <c r="FI89" s="409">
        <v>0</v>
      </c>
    </row>
    <row r="90" spans="1:165" s="874" customFormat="1">
      <c r="A90" s="409">
        <v>88</v>
      </c>
      <c r="B90" s="409" t="s">
        <v>2246</v>
      </c>
      <c r="C90" s="409" t="s">
        <v>2244</v>
      </c>
      <c r="D90" s="409" t="s">
        <v>1991</v>
      </c>
      <c r="E90" s="409" t="s">
        <v>968</v>
      </c>
      <c r="F90" s="409" t="s">
        <v>968</v>
      </c>
      <c r="G90" s="409" t="s">
        <v>1323</v>
      </c>
      <c r="H90" s="409" t="s">
        <v>1323</v>
      </c>
      <c r="I90" s="409" t="s">
        <v>1323</v>
      </c>
      <c r="J90" s="409" t="s">
        <v>2245</v>
      </c>
      <c r="K90" s="835">
        <v>44409</v>
      </c>
      <c r="L90" s="409">
        <v>0</v>
      </c>
      <c r="M90" s="409">
        <v>0</v>
      </c>
      <c r="N90" s="409">
        <v>1.47</v>
      </c>
      <c r="O90" s="409">
        <v>1.47</v>
      </c>
      <c r="P90" s="409">
        <v>1.47</v>
      </c>
      <c r="Q90" s="409">
        <v>1.47</v>
      </c>
      <c r="R90" s="409"/>
      <c r="S90" s="409">
        <v>597.01</v>
      </c>
      <c r="T90" s="409">
        <v>243.39</v>
      </c>
      <c r="U90" s="409"/>
      <c r="V90" s="409">
        <v>1235.3879999999999</v>
      </c>
      <c r="W90" s="409">
        <v>1235.3879999999999</v>
      </c>
      <c r="X90" s="409">
        <v>1119.0816</v>
      </c>
      <c r="Y90" s="409">
        <v>0</v>
      </c>
      <c r="Z90" s="409">
        <v>36.578711873840469</v>
      </c>
      <c r="AA90" s="409">
        <v>0</v>
      </c>
      <c r="AB90" s="409">
        <v>0</v>
      </c>
      <c r="AC90" s="409">
        <v>0</v>
      </c>
      <c r="AD90" s="409">
        <v>172.26792644639718</v>
      </c>
      <c r="AE90" s="409">
        <v>602.75663140139238</v>
      </c>
      <c r="AF90" s="409">
        <v>357.77924985784927</v>
      </c>
      <c r="AG90" s="409">
        <v>0</v>
      </c>
      <c r="AH90" s="409">
        <v>0</v>
      </c>
      <c r="AI90" s="409">
        <v>0</v>
      </c>
      <c r="AJ90" s="409">
        <v>0</v>
      </c>
      <c r="AK90" s="409">
        <v>0</v>
      </c>
      <c r="AL90" s="409">
        <v>14.933863513357108</v>
      </c>
      <c r="AM90" s="409"/>
      <c r="AN90" s="409">
        <v>2.5238009876310841</v>
      </c>
      <c r="AO90" s="409">
        <v>0</v>
      </c>
      <c r="AP90" s="409">
        <v>0</v>
      </c>
      <c r="AQ90" s="409">
        <v>0</v>
      </c>
      <c r="AR90" s="409">
        <v>0</v>
      </c>
      <c r="AS90" s="409">
        <v>0</v>
      </c>
      <c r="AT90" s="409">
        <v>0</v>
      </c>
      <c r="AU90" s="409">
        <v>0</v>
      </c>
      <c r="AV90" s="409">
        <v>0</v>
      </c>
      <c r="AW90" s="409">
        <v>0</v>
      </c>
      <c r="AX90" s="409">
        <v>0</v>
      </c>
      <c r="AY90" s="409">
        <v>0</v>
      </c>
      <c r="AZ90" s="409">
        <v>0</v>
      </c>
      <c r="BA90" s="409"/>
      <c r="BB90" s="409">
        <v>0</v>
      </c>
      <c r="BC90" s="409">
        <v>0</v>
      </c>
      <c r="BD90" s="409">
        <v>0</v>
      </c>
      <c r="BE90" s="409">
        <v>0</v>
      </c>
      <c r="BF90" s="409">
        <v>0</v>
      </c>
      <c r="BG90" s="409">
        <v>48.538414127079321</v>
      </c>
      <c r="BH90" s="409">
        <v>0</v>
      </c>
      <c r="BI90" s="409">
        <v>0</v>
      </c>
      <c r="BJ90" s="409">
        <v>0</v>
      </c>
      <c r="BK90" s="409">
        <v>0</v>
      </c>
      <c r="BL90" s="409">
        <v>9</v>
      </c>
      <c r="BM90" s="409"/>
      <c r="BN90" s="409"/>
      <c r="BO90" s="409"/>
      <c r="BP90" s="409"/>
      <c r="BQ90" s="409"/>
      <c r="BR90" s="409"/>
      <c r="BS90" s="409"/>
      <c r="BT90" s="409"/>
      <c r="BU90" s="409"/>
      <c r="BV90" s="409">
        <v>406.31766398492857</v>
      </c>
      <c r="BW90" s="409"/>
      <c r="BX90" s="409"/>
      <c r="BY90" s="409"/>
      <c r="BZ90" s="409"/>
      <c r="CA90" s="409"/>
      <c r="CB90" s="409"/>
      <c r="CC90" s="409"/>
      <c r="CD90" s="409"/>
      <c r="CE90" s="409"/>
      <c r="CF90" s="409"/>
      <c r="CG90" s="409"/>
      <c r="CH90" s="409"/>
      <c r="CI90" s="409">
        <v>1119.0816</v>
      </c>
      <c r="CJ90" s="409">
        <v>-116.33639999999991</v>
      </c>
      <c r="CK90" s="409"/>
      <c r="CL90" s="409"/>
      <c r="CM90" s="409"/>
      <c r="CN90" s="409"/>
      <c r="CO90" s="409">
        <v>-128.74259999999998</v>
      </c>
      <c r="CP90" s="409">
        <v>12.436200000000012</v>
      </c>
      <c r="CQ90" s="409">
        <v>31</v>
      </c>
      <c r="CR90" s="409">
        <v>21.86451982595338</v>
      </c>
      <c r="CS90" s="409">
        <v>0</v>
      </c>
      <c r="CT90" s="409">
        <v>0</v>
      </c>
      <c r="CU90" s="409">
        <v>0</v>
      </c>
      <c r="CV90" s="409">
        <v>0</v>
      </c>
      <c r="CW90" s="409">
        <v>0</v>
      </c>
      <c r="CX90" s="409">
        <v>0</v>
      </c>
      <c r="CY90" s="409">
        <v>0</v>
      </c>
      <c r="CZ90" s="409">
        <v>6.4584310650894281</v>
      </c>
      <c r="DA90" s="409">
        <v>0</v>
      </c>
      <c r="DB90" s="409">
        <v>0</v>
      </c>
      <c r="DC90" s="409">
        <v>16.389834074009343</v>
      </c>
      <c r="DD90" s="409">
        <v>0</v>
      </c>
      <c r="DE90" s="409">
        <v>0</v>
      </c>
      <c r="DF90" s="409">
        <v>0</v>
      </c>
      <c r="DG90" s="409">
        <v>2.2235402250813223</v>
      </c>
      <c r="DH90" s="409">
        <v>0</v>
      </c>
      <c r="DI90" s="409">
        <v>-0.26676418265802226</v>
      </c>
      <c r="DJ90" s="409"/>
      <c r="DK90" s="409">
        <v>0</v>
      </c>
      <c r="DL90" s="409">
        <v>0</v>
      </c>
      <c r="DM90" s="409">
        <v>0</v>
      </c>
      <c r="DN90" s="409">
        <v>0</v>
      </c>
      <c r="DO90" s="409">
        <v>-8.3763326863524057E-2</v>
      </c>
      <c r="DP90" s="409">
        <v>-0.14866032235034599</v>
      </c>
      <c r="DQ90" s="409">
        <v>0</v>
      </c>
      <c r="DR90" s="409">
        <v>-2.7080977063549225</v>
      </c>
      <c r="DS90" s="409"/>
      <c r="DT90" s="409"/>
      <c r="DU90" s="409"/>
      <c r="DV90" s="409">
        <v>602.75663140139238</v>
      </c>
      <c r="DW90" s="409">
        <v>0</v>
      </c>
      <c r="DX90" s="409">
        <v>0</v>
      </c>
      <c r="DY90" s="409">
        <v>-128.74260000000004</v>
      </c>
      <c r="DZ90" s="409">
        <v>12.436199999999985</v>
      </c>
      <c r="EA90" s="409">
        <v>0</v>
      </c>
      <c r="EB90" s="409">
        <v>0</v>
      </c>
      <c r="EC90" s="409">
        <v>-138.16599340207222</v>
      </c>
      <c r="ED90" s="409">
        <v>0</v>
      </c>
      <c r="EE90" s="409">
        <v>0</v>
      </c>
      <c r="EF90" s="409">
        <v>0</v>
      </c>
      <c r="EG90" s="409">
        <v>0</v>
      </c>
      <c r="EH90" s="409">
        <v>0</v>
      </c>
      <c r="EI90" s="409">
        <v>0</v>
      </c>
      <c r="EJ90" s="409">
        <v>0</v>
      </c>
      <c r="EK90" s="409">
        <v>0</v>
      </c>
      <c r="EL90" s="409">
        <v>0</v>
      </c>
      <c r="EM90" s="409">
        <v>0</v>
      </c>
      <c r="EN90" s="409">
        <v>0</v>
      </c>
      <c r="EO90" s="409">
        <v>0</v>
      </c>
      <c r="EP90" s="409">
        <v>0</v>
      </c>
      <c r="EQ90" s="409">
        <v>0</v>
      </c>
      <c r="ER90" s="409">
        <v>0</v>
      </c>
      <c r="ES90" s="409">
        <v>0</v>
      </c>
      <c r="ET90" s="409">
        <v>0</v>
      </c>
      <c r="EU90" s="409">
        <v>0</v>
      </c>
      <c r="EV90" s="409">
        <v>254</v>
      </c>
      <c r="EW90" s="409">
        <v>0</v>
      </c>
      <c r="EX90" s="409">
        <v>0</v>
      </c>
      <c r="EY90" s="409">
        <v>0</v>
      </c>
      <c r="EZ90" s="409"/>
      <c r="FA90" s="409">
        <v>0</v>
      </c>
      <c r="FB90" s="409"/>
      <c r="FC90" s="409"/>
      <c r="FD90" s="409"/>
      <c r="FE90" s="409"/>
      <c r="FF90" s="409">
        <v>0</v>
      </c>
      <c r="FG90" s="409">
        <v>0</v>
      </c>
      <c r="FH90" s="409">
        <v>0</v>
      </c>
      <c r="FI90" s="409">
        <v>0</v>
      </c>
    </row>
    <row r="91" spans="1:165" s="874" customFormat="1">
      <c r="A91" s="409">
        <v>89</v>
      </c>
      <c r="B91" s="409" t="s">
        <v>1035</v>
      </c>
      <c r="C91" s="409" t="s">
        <v>2244</v>
      </c>
      <c r="D91" s="409" t="s">
        <v>1991</v>
      </c>
      <c r="E91" s="409" t="s">
        <v>968</v>
      </c>
      <c r="F91" s="409" t="s">
        <v>2247</v>
      </c>
      <c r="G91" s="409" t="s">
        <v>1323</v>
      </c>
      <c r="H91" s="409" t="s">
        <v>1323</v>
      </c>
      <c r="I91" s="409" t="s">
        <v>1323</v>
      </c>
      <c r="J91" s="409" t="s">
        <v>2245</v>
      </c>
      <c r="K91" s="835">
        <v>44409</v>
      </c>
      <c r="L91" s="409">
        <v>0</v>
      </c>
      <c r="M91" s="409">
        <v>0</v>
      </c>
      <c r="N91" s="409">
        <v>60.9</v>
      </c>
      <c r="O91" s="409">
        <v>60.9</v>
      </c>
      <c r="P91" s="409">
        <v>60.9</v>
      </c>
      <c r="Q91" s="409">
        <v>60.9</v>
      </c>
      <c r="R91" s="409"/>
      <c r="S91" s="409">
        <v>561.96</v>
      </c>
      <c r="T91" s="409">
        <v>243.39</v>
      </c>
      <c r="U91" s="409"/>
      <c r="V91" s="409">
        <v>49045.815000000002</v>
      </c>
      <c r="W91" s="409">
        <v>49045.815000000002</v>
      </c>
      <c r="X91" s="409">
        <v>44238.977999999996</v>
      </c>
      <c r="Y91" s="409">
        <v>0</v>
      </c>
      <c r="Z91" s="409">
        <v>0</v>
      </c>
      <c r="AA91" s="409">
        <v>0</v>
      </c>
      <c r="AB91" s="409">
        <v>0</v>
      </c>
      <c r="AC91" s="409">
        <v>0</v>
      </c>
      <c r="AD91" s="409">
        <v>7136.8140956364541</v>
      </c>
      <c r="AE91" s="409">
        <v>24971.346158057684</v>
      </c>
      <c r="AF91" s="409">
        <v>14822.283208396611</v>
      </c>
      <c r="AG91" s="409">
        <v>0</v>
      </c>
      <c r="AH91" s="409">
        <v>0</v>
      </c>
      <c r="AI91" s="409">
        <v>0</v>
      </c>
      <c r="AJ91" s="409">
        <v>0</v>
      </c>
      <c r="AK91" s="409">
        <v>0</v>
      </c>
      <c r="AL91" s="409">
        <v>0</v>
      </c>
      <c r="AM91" s="409"/>
      <c r="AN91" s="409">
        <v>104.55746948757347</v>
      </c>
      <c r="AO91" s="409">
        <v>0</v>
      </c>
      <c r="AP91" s="409">
        <v>0</v>
      </c>
      <c r="AQ91" s="409">
        <v>0</v>
      </c>
      <c r="AR91" s="409">
        <v>0</v>
      </c>
      <c r="AS91" s="409">
        <v>0</v>
      </c>
      <c r="AT91" s="409">
        <v>0</v>
      </c>
      <c r="AU91" s="409">
        <v>0</v>
      </c>
      <c r="AV91" s="409">
        <v>0</v>
      </c>
      <c r="AW91" s="409">
        <v>0</v>
      </c>
      <c r="AX91" s="409">
        <v>0</v>
      </c>
      <c r="AY91" s="409">
        <v>0</v>
      </c>
      <c r="AZ91" s="409">
        <v>0</v>
      </c>
      <c r="BA91" s="409"/>
      <c r="BB91" s="409">
        <v>0</v>
      </c>
      <c r="BC91" s="409">
        <v>0</v>
      </c>
      <c r="BD91" s="409">
        <v>0</v>
      </c>
      <c r="BE91" s="409">
        <v>0</v>
      </c>
      <c r="BF91" s="409">
        <v>0</v>
      </c>
      <c r="BG91" s="409">
        <v>2010.8771566932862</v>
      </c>
      <c r="BH91" s="409">
        <v>0</v>
      </c>
      <c r="BI91" s="409">
        <v>0</v>
      </c>
      <c r="BJ91" s="409">
        <v>0</v>
      </c>
      <c r="BK91" s="409">
        <v>0</v>
      </c>
      <c r="BL91" s="409">
        <v>150</v>
      </c>
      <c r="BM91" s="409"/>
      <c r="BN91" s="409"/>
      <c r="BO91" s="409"/>
      <c r="BP91" s="409"/>
      <c r="BQ91" s="409"/>
      <c r="BR91" s="409"/>
      <c r="BS91" s="409"/>
      <c r="BT91" s="409">
        <v>28755.152999999998</v>
      </c>
      <c r="BU91" s="409"/>
      <c r="BV91" s="409">
        <v>16833.160365089898</v>
      </c>
      <c r="BW91" s="409"/>
      <c r="BX91" s="409"/>
      <c r="BY91" s="409"/>
      <c r="BZ91" s="409"/>
      <c r="CA91" s="409"/>
      <c r="CB91" s="409"/>
      <c r="CC91" s="409"/>
      <c r="CD91" s="409"/>
      <c r="CE91" s="409"/>
      <c r="CF91" s="409"/>
      <c r="CG91" s="409"/>
      <c r="CH91" s="409"/>
      <c r="CI91" s="409">
        <v>15483.825000000001</v>
      </c>
      <c r="CJ91" s="409">
        <v>-1682.6970000000001</v>
      </c>
      <c r="CK91" s="409"/>
      <c r="CL91" s="409"/>
      <c r="CM91" s="409"/>
      <c r="CN91" s="409"/>
      <c r="CO91" s="409">
        <v>-5322.0510000000022</v>
      </c>
      <c r="CP91" s="409">
        <v>515.21400000000051</v>
      </c>
      <c r="CQ91" s="409">
        <v>31</v>
      </c>
      <c r="CR91" s="409">
        <v>917.32487553984902</v>
      </c>
      <c r="CS91" s="409">
        <v>0</v>
      </c>
      <c r="CT91" s="409">
        <v>0</v>
      </c>
      <c r="CU91" s="409">
        <v>0</v>
      </c>
      <c r="CV91" s="409">
        <v>0</v>
      </c>
      <c r="CW91" s="409">
        <v>0</v>
      </c>
      <c r="CX91" s="409">
        <v>0</v>
      </c>
      <c r="CY91" s="409">
        <v>0</v>
      </c>
      <c r="CZ91" s="409">
        <v>267.56357269656201</v>
      </c>
      <c r="DA91" s="409">
        <v>0</v>
      </c>
      <c r="DB91" s="409">
        <v>0</v>
      </c>
      <c r="DC91" s="409">
        <v>679.007411637529</v>
      </c>
      <c r="DD91" s="409">
        <v>0</v>
      </c>
      <c r="DE91" s="409">
        <v>0</v>
      </c>
      <c r="DF91" s="409">
        <v>0</v>
      </c>
      <c r="DG91" s="409">
        <v>92.1180950390833</v>
      </c>
      <c r="DH91" s="409">
        <v>0</v>
      </c>
      <c r="DI91" s="409">
        <v>0</v>
      </c>
      <c r="DJ91" s="409"/>
      <c r="DK91" s="409">
        <v>0</v>
      </c>
      <c r="DL91" s="409">
        <v>0</v>
      </c>
      <c r="DM91" s="409">
        <v>0</v>
      </c>
      <c r="DN91" s="409">
        <v>0</v>
      </c>
      <c r="DO91" s="409">
        <v>0</v>
      </c>
      <c r="DP91" s="409">
        <v>-6.158784783085764</v>
      </c>
      <c r="DQ91" s="409">
        <v>0</v>
      </c>
      <c r="DR91" s="409">
        <v>-115.20541905024113</v>
      </c>
      <c r="DS91" s="409"/>
      <c r="DT91" s="409"/>
      <c r="DU91" s="409"/>
      <c r="DV91" s="409">
        <v>24971.346158057684</v>
      </c>
      <c r="DW91" s="409">
        <v>0</v>
      </c>
      <c r="DX91" s="409">
        <v>0</v>
      </c>
      <c r="DY91" s="409">
        <v>-5322.0510000000031</v>
      </c>
      <c r="DZ91" s="409">
        <v>515.21399999999994</v>
      </c>
      <c r="EA91" s="409">
        <v>0</v>
      </c>
      <c r="EB91" s="409">
        <v>0</v>
      </c>
      <c r="EC91" s="409">
        <v>-5724.0197266572795</v>
      </c>
      <c r="ED91" s="409">
        <v>0</v>
      </c>
      <c r="EE91" s="409">
        <v>0</v>
      </c>
      <c r="EF91" s="409">
        <v>0</v>
      </c>
      <c r="EG91" s="409">
        <v>0</v>
      </c>
      <c r="EH91" s="409">
        <v>0</v>
      </c>
      <c r="EI91" s="409">
        <v>0</v>
      </c>
      <c r="EJ91" s="409">
        <v>0</v>
      </c>
      <c r="EK91" s="409">
        <v>0</v>
      </c>
      <c r="EL91" s="409">
        <v>0</v>
      </c>
      <c r="EM91" s="409">
        <v>0</v>
      </c>
      <c r="EN91" s="409">
        <v>0</v>
      </c>
      <c r="EO91" s="409">
        <v>0</v>
      </c>
      <c r="EP91" s="409">
        <v>0</v>
      </c>
      <c r="EQ91" s="409">
        <v>0</v>
      </c>
      <c r="ER91" s="409">
        <v>0</v>
      </c>
      <c r="ES91" s="409">
        <v>0</v>
      </c>
      <c r="ET91" s="409">
        <v>0</v>
      </c>
      <c r="EU91" s="409">
        <v>0</v>
      </c>
      <c r="EV91" s="409">
        <v>254</v>
      </c>
      <c r="EW91" s="409">
        <v>0</v>
      </c>
      <c r="EX91" s="409">
        <v>0</v>
      </c>
      <c r="EY91" s="409">
        <v>0</v>
      </c>
      <c r="EZ91" s="409"/>
      <c r="FA91" s="409">
        <v>0</v>
      </c>
      <c r="FB91" s="409"/>
      <c r="FC91" s="409"/>
      <c r="FD91" s="409"/>
      <c r="FE91" s="409"/>
      <c r="FF91" s="409">
        <v>0</v>
      </c>
      <c r="FG91" s="409">
        <v>0</v>
      </c>
      <c r="FH91" s="409">
        <v>0</v>
      </c>
      <c r="FI91" s="409">
        <v>0</v>
      </c>
    </row>
    <row r="92" spans="1:165" s="874" customFormat="1">
      <c r="A92" s="409">
        <v>90</v>
      </c>
      <c r="B92" s="409" t="s">
        <v>1035</v>
      </c>
      <c r="C92" s="409" t="s">
        <v>2244</v>
      </c>
      <c r="D92" s="409" t="s">
        <v>1991</v>
      </c>
      <c r="E92" s="409" t="s">
        <v>968</v>
      </c>
      <c r="F92" s="409" t="s">
        <v>2248</v>
      </c>
      <c r="G92" s="409" t="s">
        <v>1323</v>
      </c>
      <c r="H92" s="409" t="s">
        <v>1323</v>
      </c>
      <c r="I92" s="409" t="s">
        <v>1323</v>
      </c>
      <c r="J92" s="409" t="s">
        <v>2245</v>
      </c>
      <c r="K92" s="835">
        <v>44409</v>
      </c>
      <c r="L92" s="409">
        <v>0</v>
      </c>
      <c r="M92" s="409">
        <v>0</v>
      </c>
      <c r="N92" s="409">
        <v>88.462999999999994</v>
      </c>
      <c r="O92" s="409">
        <v>88.462999999999994</v>
      </c>
      <c r="P92" s="409">
        <v>88.462999999999994</v>
      </c>
      <c r="Q92" s="409">
        <v>88.462999999999994</v>
      </c>
      <c r="R92" s="409"/>
      <c r="S92" s="409">
        <v>561.96</v>
      </c>
      <c r="T92" s="409">
        <v>243.39</v>
      </c>
      <c r="U92" s="409"/>
      <c r="V92" s="409">
        <v>71243.677049999998</v>
      </c>
      <c r="W92" s="409">
        <v>71243.677049999998</v>
      </c>
      <c r="X92" s="409">
        <v>64261.292459999997</v>
      </c>
      <c r="Y92" s="409">
        <v>0</v>
      </c>
      <c r="Z92" s="409">
        <v>0</v>
      </c>
      <c r="AA92" s="409">
        <v>0</v>
      </c>
      <c r="AB92" s="409">
        <v>0</v>
      </c>
      <c r="AC92" s="409">
        <v>0</v>
      </c>
      <c r="AD92" s="409">
        <v>10366.896311039205</v>
      </c>
      <c r="AE92" s="409">
        <v>36273.238016096169</v>
      </c>
      <c r="AF92" s="409">
        <v>21530.765836853683</v>
      </c>
      <c r="AG92" s="409">
        <v>0</v>
      </c>
      <c r="AH92" s="409">
        <v>0</v>
      </c>
      <c r="AI92" s="409">
        <v>0</v>
      </c>
      <c r="AJ92" s="409">
        <v>0</v>
      </c>
      <c r="AK92" s="409">
        <v>0</v>
      </c>
      <c r="AL92" s="409">
        <v>0</v>
      </c>
      <c r="AM92" s="409"/>
      <c r="AN92" s="409">
        <v>151.87959644136637</v>
      </c>
      <c r="AO92" s="409">
        <v>0</v>
      </c>
      <c r="AP92" s="409">
        <v>0</v>
      </c>
      <c r="AQ92" s="409">
        <v>0</v>
      </c>
      <c r="AR92" s="409">
        <v>0</v>
      </c>
      <c r="AS92" s="409">
        <v>0</v>
      </c>
      <c r="AT92" s="409">
        <v>0</v>
      </c>
      <c r="AU92" s="409">
        <v>0</v>
      </c>
      <c r="AV92" s="409">
        <v>0</v>
      </c>
      <c r="AW92" s="409">
        <v>0</v>
      </c>
      <c r="AX92" s="409">
        <v>0</v>
      </c>
      <c r="AY92" s="409">
        <v>0</v>
      </c>
      <c r="AZ92" s="409">
        <v>0</v>
      </c>
      <c r="BA92" s="409"/>
      <c r="BB92" s="409">
        <v>0</v>
      </c>
      <c r="BC92" s="409">
        <v>0</v>
      </c>
      <c r="BD92" s="409">
        <v>0</v>
      </c>
      <c r="BE92" s="409">
        <v>0</v>
      </c>
      <c r="BF92" s="409">
        <v>0</v>
      </c>
      <c r="BG92" s="409">
        <v>2920.9889312406922</v>
      </c>
      <c r="BH92" s="409">
        <v>0</v>
      </c>
      <c r="BI92" s="409">
        <v>0</v>
      </c>
      <c r="BJ92" s="409">
        <v>0</v>
      </c>
      <c r="BK92" s="409">
        <v>0</v>
      </c>
      <c r="BL92" s="409">
        <v>1317</v>
      </c>
      <c r="BM92" s="409"/>
      <c r="BN92" s="409"/>
      <c r="BO92" s="409"/>
      <c r="BP92" s="409"/>
      <c r="BQ92" s="409"/>
      <c r="BR92" s="409"/>
      <c r="BS92" s="409"/>
      <c r="BT92" s="409">
        <v>25704.693909999995</v>
      </c>
      <c r="BU92" s="409"/>
      <c r="BV92" s="409">
        <v>24451.754768094375</v>
      </c>
      <c r="BW92" s="409"/>
      <c r="BX92" s="409"/>
      <c r="BY92" s="409"/>
      <c r="BZ92" s="409"/>
      <c r="CA92" s="409"/>
      <c r="CB92" s="409"/>
      <c r="CC92" s="409"/>
      <c r="CD92" s="409"/>
      <c r="CE92" s="409"/>
      <c r="CF92" s="409"/>
      <c r="CG92" s="409"/>
      <c r="CH92" s="409"/>
      <c r="CI92" s="409">
        <v>38555.290999999997</v>
      </c>
      <c r="CJ92" s="409">
        <v>-4190.9452300000048</v>
      </c>
      <c r="CK92" s="409"/>
      <c r="CL92" s="409"/>
      <c r="CM92" s="409"/>
      <c r="CN92" s="409"/>
      <c r="CO92" s="409">
        <v>-7730.7815700000037</v>
      </c>
      <c r="CP92" s="409">
        <v>748.39698000000067</v>
      </c>
      <c r="CQ92" s="409">
        <v>31</v>
      </c>
      <c r="CR92" s="409">
        <v>1332.5009928551954</v>
      </c>
      <c r="CS92" s="409">
        <v>0</v>
      </c>
      <c r="CT92" s="409">
        <v>0</v>
      </c>
      <c r="CU92" s="409">
        <v>0</v>
      </c>
      <c r="CV92" s="409">
        <v>0</v>
      </c>
      <c r="CW92" s="409">
        <v>0</v>
      </c>
      <c r="CX92" s="409">
        <v>0</v>
      </c>
      <c r="CY92" s="409">
        <v>0</v>
      </c>
      <c r="CZ92" s="409">
        <v>388.6613519122493</v>
      </c>
      <c r="DA92" s="409">
        <v>0</v>
      </c>
      <c r="DB92" s="409">
        <v>0</v>
      </c>
      <c r="DC92" s="409">
        <v>986.32237529869963</v>
      </c>
      <c r="DD92" s="409">
        <v>0</v>
      </c>
      <c r="DE92" s="409">
        <v>0</v>
      </c>
      <c r="DF92" s="409">
        <v>0</v>
      </c>
      <c r="DG92" s="409">
        <v>133.81023056555705</v>
      </c>
      <c r="DH92" s="409">
        <v>0</v>
      </c>
      <c r="DI92" s="409">
        <v>0</v>
      </c>
      <c r="DJ92" s="409"/>
      <c r="DK92" s="409">
        <v>0</v>
      </c>
      <c r="DL92" s="409">
        <v>0</v>
      </c>
      <c r="DM92" s="409">
        <v>0</v>
      </c>
      <c r="DN92" s="409">
        <v>0</v>
      </c>
      <c r="DO92" s="409">
        <v>0</v>
      </c>
      <c r="DP92" s="409">
        <v>-8.9462163918902604</v>
      </c>
      <c r="DQ92" s="409">
        <v>0</v>
      </c>
      <c r="DR92" s="409">
        <v>-167.34674852941674</v>
      </c>
      <c r="DS92" s="409"/>
      <c r="DT92" s="409"/>
      <c r="DU92" s="409"/>
      <c r="DV92" s="409">
        <v>36273.238016096169</v>
      </c>
      <c r="DW92" s="409">
        <v>0</v>
      </c>
      <c r="DX92" s="409">
        <v>0</v>
      </c>
      <c r="DY92" s="409">
        <v>-7730.7815699999992</v>
      </c>
      <c r="DZ92" s="409">
        <v>748.39698000000135</v>
      </c>
      <c r="EA92" s="409">
        <v>0</v>
      </c>
      <c r="EB92" s="409">
        <v>0</v>
      </c>
      <c r="EC92" s="409">
        <v>-8314.6790981819795</v>
      </c>
      <c r="ED92" s="409">
        <v>0</v>
      </c>
      <c r="EE92" s="409">
        <v>0</v>
      </c>
      <c r="EF92" s="409">
        <v>0</v>
      </c>
      <c r="EG92" s="409">
        <v>0</v>
      </c>
      <c r="EH92" s="409">
        <v>0</v>
      </c>
      <c r="EI92" s="409">
        <v>0</v>
      </c>
      <c r="EJ92" s="409">
        <v>0</v>
      </c>
      <c r="EK92" s="409">
        <v>0</v>
      </c>
      <c r="EL92" s="409">
        <v>0</v>
      </c>
      <c r="EM92" s="409">
        <v>0</v>
      </c>
      <c r="EN92" s="409">
        <v>0</v>
      </c>
      <c r="EO92" s="409">
        <v>0</v>
      </c>
      <c r="EP92" s="409">
        <v>0</v>
      </c>
      <c r="EQ92" s="409">
        <v>0</v>
      </c>
      <c r="ER92" s="409">
        <v>0</v>
      </c>
      <c r="ES92" s="409">
        <v>0</v>
      </c>
      <c r="ET92" s="409">
        <v>0</v>
      </c>
      <c r="EU92" s="409">
        <v>0</v>
      </c>
      <c r="EV92" s="409">
        <v>254</v>
      </c>
      <c r="EW92" s="409">
        <v>0</v>
      </c>
      <c r="EX92" s="409">
        <v>0</v>
      </c>
      <c r="EY92" s="409">
        <v>0</v>
      </c>
      <c r="EZ92" s="409"/>
      <c r="FA92" s="409">
        <v>0</v>
      </c>
      <c r="FB92" s="409"/>
      <c r="FC92" s="409"/>
      <c r="FD92" s="409"/>
      <c r="FE92" s="409"/>
      <c r="FF92" s="409">
        <v>0</v>
      </c>
      <c r="FG92" s="409">
        <v>0</v>
      </c>
      <c r="FH92" s="409">
        <v>0</v>
      </c>
      <c r="FI92" s="409">
        <v>0</v>
      </c>
    </row>
    <row r="93" spans="1:165" s="874" customFormat="1">
      <c r="A93" s="409">
        <v>91</v>
      </c>
      <c r="B93" s="409" t="s">
        <v>1035</v>
      </c>
      <c r="C93" s="409" t="s">
        <v>2244</v>
      </c>
      <c r="D93" s="409" t="s">
        <v>1991</v>
      </c>
      <c r="E93" s="409" t="s">
        <v>968</v>
      </c>
      <c r="F93" s="409" t="s">
        <v>2249</v>
      </c>
      <c r="G93" s="409" t="s">
        <v>1323</v>
      </c>
      <c r="H93" s="409" t="s">
        <v>1323</v>
      </c>
      <c r="I93" s="409" t="s">
        <v>1323</v>
      </c>
      <c r="J93" s="409" t="s">
        <v>2245</v>
      </c>
      <c r="K93" s="835">
        <v>44409</v>
      </c>
      <c r="L93" s="409">
        <v>0</v>
      </c>
      <c r="M93" s="409">
        <v>0</v>
      </c>
      <c r="N93" s="409">
        <v>23.878</v>
      </c>
      <c r="O93" s="409">
        <v>23.878</v>
      </c>
      <c r="P93" s="409">
        <v>23.878</v>
      </c>
      <c r="Q93" s="409">
        <v>23.878</v>
      </c>
      <c r="R93" s="409"/>
      <c r="S93" s="409">
        <v>561.96</v>
      </c>
      <c r="T93" s="409">
        <v>243.39</v>
      </c>
      <c r="U93" s="409"/>
      <c r="V93" s="409">
        <v>19230.147300000001</v>
      </c>
      <c r="W93" s="409">
        <v>19230.147300000001</v>
      </c>
      <c r="X93" s="409">
        <v>17345.456760000001</v>
      </c>
      <c r="Y93" s="409">
        <v>0</v>
      </c>
      <c r="Z93" s="409">
        <v>0</v>
      </c>
      <c r="AA93" s="409">
        <v>0</v>
      </c>
      <c r="AB93" s="409">
        <v>0</v>
      </c>
      <c r="AC93" s="409">
        <v>0</v>
      </c>
      <c r="AD93" s="409">
        <v>2798.2405086306612</v>
      </c>
      <c r="AE93" s="409">
        <v>9790.8998942873804</v>
      </c>
      <c r="AF93" s="409">
        <v>5811.6006313644384</v>
      </c>
      <c r="AG93" s="409">
        <v>0</v>
      </c>
      <c r="AH93" s="409">
        <v>0</v>
      </c>
      <c r="AI93" s="409">
        <v>0</v>
      </c>
      <c r="AJ93" s="409">
        <v>0</v>
      </c>
      <c r="AK93" s="409">
        <v>0</v>
      </c>
      <c r="AL93" s="409">
        <v>0</v>
      </c>
      <c r="AM93" s="409"/>
      <c r="AN93" s="409">
        <v>40.995455770513622</v>
      </c>
      <c r="AO93" s="409">
        <v>0</v>
      </c>
      <c r="AP93" s="409">
        <v>0</v>
      </c>
      <c r="AQ93" s="409">
        <v>0</v>
      </c>
      <c r="AR93" s="409">
        <v>0</v>
      </c>
      <c r="AS93" s="409">
        <v>0</v>
      </c>
      <c r="AT93" s="409">
        <v>0</v>
      </c>
      <c r="AU93" s="409">
        <v>0</v>
      </c>
      <c r="AV93" s="409">
        <v>0</v>
      </c>
      <c r="AW93" s="409">
        <v>0</v>
      </c>
      <c r="AX93" s="409">
        <v>0</v>
      </c>
      <c r="AY93" s="409">
        <v>0</v>
      </c>
      <c r="AZ93" s="409">
        <v>0</v>
      </c>
      <c r="BA93" s="409"/>
      <c r="BB93" s="409">
        <v>0</v>
      </c>
      <c r="BC93" s="409">
        <v>0</v>
      </c>
      <c r="BD93" s="409">
        <v>0</v>
      </c>
      <c r="BE93" s="409">
        <v>0</v>
      </c>
      <c r="BF93" s="409">
        <v>0</v>
      </c>
      <c r="BG93" s="409">
        <v>788.43554593632655</v>
      </c>
      <c r="BH93" s="409">
        <v>0</v>
      </c>
      <c r="BI93" s="409">
        <v>0</v>
      </c>
      <c r="BJ93" s="409">
        <v>0</v>
      </c>
      <c r="BK93" s="409">
        <v>0</v>
      </c>
      <c r="BL93" s="409">
        <v>511</v>
      </c>
      <c r="BM93" s="409"/>
      <c r="BN93" s="409"/>
      <c r="BO93" s="409"/>
      <c r="BP93" s="409"/>
      <c r="BQ93" s="409"/>
      <c r="BR93" s="409"/>
      <c r="BS93" s="409"/>
      <c r="BT93" s="409">
        <v>1734.4979199999998</v>
      </c>
      <c r="BU93" s="409"/>
      <c r="BV93" s="409">
        <v>6600.0361773007653</v>
      </c>
      <c r="BW93" s="409"/>
      <c r="BX93" s="409"/>
      <c r="BY93" s="409"/>
      <c r="BZ93" s="409"/>
      <c r="CA93" s="409"/>
      <c r="CB93" s="409"/>
      <c r="CC93" s="409"/>
      <c r="CD93" s="409"/>
      <c r="CE93" s="409"/>
      <c r="CF93" s="409"/>
      <c r="CG93" s="409"/>
      <c r="CH93" s="409"/>
      <c r="CI93" s="409">
        <v>15612.2664</v>
      </c>
      <c r="CJ93" s="409">
        <v>-1695.0155599999998</v>
      </c>
      <c r="CK93" s="409"/>
      <c r="CL93" s="409"/>
      <c r="CM93" s="409"/>
      <c r="CN93" s="409"/>
      <c r="CO93" s="409">
        <v>-2086.6984200000011</v>
      </c>
      <c r="CP93" s="409">
        <v>202.0078800000002</v>
      </c>
      <c r="CQ93" s="409">
        <v>31</v>
      </c>
      <c r="CR93" s="409">
        <v>359.66967780197774</v>
      </c>
      <c r="CS93" s="409">
        <v>0</v>
      </c>
      <c r="CT93" s="409">
        <v>0</v>
      </c>
      <c r="CU93" s="409">
        <v>0</v>
      </c>
      <c r="CV93" s="409">
        <v>0</v>
      </c>
      <c r="CW93" s="409">
        <v>0</v>
      </c>
      <c r="CX93" s="409">
        <v>0</v>
      </c>
      <c r="CY93" s="409">
        <v>0</v>
      </c>
      <c r="CZ93" s="409">
        <v>104.90776664775876</v>
      </c>
      <c r="DA93" s="409">
        <v>0</v>
      </c>
      <c r="DB93" s="409">
        <v>0</v>
      </c>
      <c r="DC93" s="409">
        <v>266.22888300625527</v>
      </c>
      <c r="DD93" s="409">
        <v>0</v>
      </c>
      <c r="DE93" s="409">
        <v>0</v>
      </c>
      <c r="DF93" s="409">
        <v>0</v>
      </c>
      <c r="DG93" s="409">
        <v>36.11815883979034</v>
      </c>
      <c r="DH93" s="409">
        <v>0</v>
      </c>
      <c r="DI93" s="409">
        <v>0</v>
      </c>
      <c r="DJ93" s="409"/>
      <c r="DK93" s="409">
        <v>0</v>
      </c>
      <c r="DL93" s="409">
        <v>0</v>
      </c>
      <c r="DM93" s="409">
        <v>0</v>
      </c>
      <c r="DN93" s="409">
        <v>0</v>
      </c>
      <c r="DO93" s="409">
        <v>0</v>
      </c>
      <c r="DP93" s="409">
        <v>-2.4147695082187539</v>
      </c>
      <c r="DQ93" s="409">
        <v>0</v>
      </c>
      <c r="DR93" s="409">
        <v>-45.170361183606865</v>
      </c>
      <c r="DS93" s="409"/>
      <c r="DT93" s="409"/>
      <c r="DU93" s="409"/>
      <c r="DV93" s="409">
        <v>9790.8998942873804</v>
      </c>
      <c r="DW93" s="409">
        <v>0</v>
      </c>
      <c r="DX93" s="409">
        <v>0</v>
      </c>
      <c r="DY93" s="409">
        <v>-2086.6984200000006</v>
      </c>
      <c r="DZ93" s="409">
        <v>202.00788000000011</v>
      </c>
      <c r="EA93" s="409">
        <v>0</v>
      </c>
      <c r="EB93" s="409">
        <v>0</v>
      </c>
      <c r="EC93" s="409">
        <v>-2244.3044833025051</v>
      </c>
      <c r="ED93" s="409">
        <v>0</v>
      </c>
      <c r="EE93" s="409">
        <v>0</v>
      </c>
      <c r="EF93" s="409">
        <v>0</v>
      </c>
      <c r="EG93" s="409">
        <v>0</v>
      </c>
      <c r="EH93" s="409">
        <v>0</v>
      </c>
      <c r="EI93" s="409">
        <v>0</v>
      </c>
      <c r="EJ93" s="409">
        <v>0</v>
      </c>
      <c r="EK93" s="409">
        <v>0</v>
      </c>
      <c r="EL93" s="409">
        <v>0</v>
      </c>
      <c r="EM93" s="409">
        <v>0</v>
      </c>
      <c r="EN93" s="409">
        <v>0</v>
      </c>
      <c r="EO93" s="409">
        <v>0</v>
      </c>
      <c r="EP93" s="409">
        <v>0</v>
      </c>
      <c r="EQ93" s="409">
        <v>0</v>
      </c>
      <c r="ER93" s="409">
        <v>0</v>
      </c>
      <c r="ES93" s="409">
        <v>0</v>
      </c>
      <c r="ET93" s="409">
        <v>0</v>
      </c>
      <c r="EU93" s="409">
        <v>0</v>
      </c>
      <c r="EV93" s="409">
        <v>254</v>
      </c>
      <c r="EW93" s="409">
        <v>0</v>
      </c>
      <c r="EX93" s="409">
        <v>0</v>
      </c>
      <c r="EY93" s="409">
        <v>0</v>
      </c>
      <c r="EZ93" s="409"/>
      <c r="FA93" s="409">
        <v>0</v>
      </c>
      <c r="FB93" s="409"/>
      <c r="FC93" s="409"/>
      <c r="FD93" s="409"/>
      <c r="FE93" s="409"/>
      <c r="FF93" s="409">
        <v>0</v>
      </c>
      <c r="FG93" s="409">
        <v>0</v>
      </c>
      <c r="FH93" s="409">
        <v>0</v>
      </c>
      <c r="FI93" s="409">
        <v>0</v>
      </c>
    </row>
    <row r="94" spans="1:165" s="874" customFormat="1">
      <c r="A94" s="409">
        <v>92</v>
      </c>
      <c r="B94" s="409" t="s">
        <v>1035</v>
      </c>
      <c r="C94" s="409" t="s">
        <v>2244</v>
      </c>
      <c r="D94" s="409" t="s">
        <v>1991</v>
      </c>
      <c r="E94" s="409" t="s">
        <v>968</v>
      </c>
      <c r="F94" s="409" t="s">
        <v>2250</v>
      </c>
      <c r="G94" s="409" t="s">
        <v>1323</v>
      </c>
      <c r="H94" s="409" t="s">
        <v>1323</v>
      </c>
      <c r="I94" s="409" t="s">
        <v>1323</v>
      </c>
      <c r="J94" s="409" t="s">
        <v>2245</v>
      </c>
      <c r="K94" s="835">
        <v>44409</v>
      </c>
      <c r="L94" s="409">
        <v>0</v>
      </c>
      <c r="M94" s="409">
        <v>0</v>
      </c>
      <c r="N94" s="409">
        <v>5.3540000000000001</v>
      </c>
      <c r="O94" s="409">
        <v>5.3540000000000001</v>
      </c>
      <c r="P94" s="409">
        <v>5.3540000000000001</v>
      </c>
      <c r="Q94" s="409">
        <v>5.3540000000000001</v>
      </c>
      <c r="R94" s="409"/>
      <c r="S94" s="409">
        <v>561.96</v>
      </c>
      <c r="T94" s="409">
        <v>243.39</v>
      </c>
      <c r="U94" s="409"/>
      <c r="V94" s="409">
        <v>4311.8438999999998</v>
      </c>
      <c r="W94" s="409">
        <v>4311.8438999999998</v>
      </c>
      <c r="X94" s="409">
        <v>3889.2526800000001</v>
      </c>
      <c r="Y94" s="409">
        <v>0</v>
      </c>
      <c r="Z94" s="409">
        <v>0</v>
      </c>
      <c r="AA94" s="409">
        <v>0</v>
      </c>
      <c r="AB94" s="409">
        <v>0</v>
      </c>
      <c r="AC94" s="409">
        <v>0</v>
      </c>
      <c r="AD94" s="409">
        <v>627.43025727483712</v>
      </c>
      <c r="AE94" s="409">
        <v>2195.3462615803096</v>
      </c>
      <c r="AF94" s="409">
        <v>1303.0953086659354</v>
      </c>
      <c r="AG94" s="409">
        <v>0</v>
      </c>
      <c r="AH94" s="409">
        <v>0</v>
      </c>
      <c r="AI94" s="409">
        <v>0</v>
      </c>
      <c r="AJ94" s="409">
        <v>0</v>
      </c>
      <c r="AK94" s="409">
        <v>0</v>
      </c>
      <c r="AL94" s="409">
        <v>0</v>
      </c>
      <c r="AM94" s="409"/>
      <c r="AN94" s="409">
        <v>9.1921295835216483</v>
      </c>
      <c r="AO94" s="409">
        <v>0</v>
      </c>
      <c r="AP94" s="409">
        <v>0</v>
      </c>
      <c r="AQ94" s="409">
        <v>0</v>
      </c>
      <c r="AR94" s="409">
        <v>0</v>
      </c>
      <c r="AS94" s="409">
        <v>0</v>
      </c>
      <c r="AT94" s="409">
        <v>0</v>
      </c>
      <c r="AU94" s="409">
        <v>0</v>
      </c>
      <c r="AV94" s="409">
        <v>0</v>
      </c>
      <c r="AW94" s="409">
        <v>0</v>
      </c>
      <c r="AX94" s="409">
        <v>0</v>
      </c>
      <c r="AY94" s="409">
        <v>0</v>
      </c>
      <c r="AZ94" s="409">
        <v>0</v>
      </c>
      <c r="BA94" s="409"/>
      <c r="BB94" s="409">
        <v>0</v>
      </c>
      <c r="BC94" s="409">
        <v>0</v>
      </c>
      <c r="BD94" s="409">
        <v>0</v>
      </c>
      <c r="BE94" s="409">
        <v>0</v>
      </c>
      <c r="BF94" s="409">
        <v>0</v>
      </c>
      <c r="BG94" s="409">
        <v>176.78548927645082</v>
      </c>
      <c r="BH94" s="409">
        <v>0</v>
      </c>
      <c r="BI94" s="409">
        <v>44.61</v>
      </c>
      <c r="BJ94" s="409">
        <v>206.01</v>
      </c>
      <c r="BK94" s="409">
        <v>683.1</v>
      </c>
      <c r="BL94" s="409">
        <v>52</v>
      </c>
      <c r="BM94" s="409"/>
      <c r="BN94" s="409"/>
      <c r="BO94" s="409"/>
      <c r="BP94" s="409"/>
      <c r="BQ94" s="409"/>
      <c r="BR94" s="409"/>
      <c r="BS94" s="409"/>
      <c r="BT94" s="409"/>
      <c r="BU94" s="409"/>
      <c r="BV94" s="409">
        <v>1479.8807979423862</v>
      </c>
      <c r="BW94" s="409"/>
      <c r="BX94" s="409"/>
      <c r="BY94" s="409"/>
      <c r="BZ94" s="409"/>
      <c r="CA94" s="409"/>
      <c r="CB94" s="409"/>
      <c r="CC94" s="409"/>
      <c r="CD94" s="409"/>
      <c r="CE94" s="409"/>
      <c r="CF94" s="409"/>
      <c r="CG94" s="409"/>
      <c r="CH94" s="409"/>
      <c r="CI94" s="409">
        <v>3886.3469999999998</v>
      </c>
      <c r="CJ94" s="409">
        <v>-425.52690000000075</v>
      </c>
      <c r="CK94" s="409"/>
      <c r="CL94" s="409"/>
      <c r="CM94" s="409"/>
      <c r="CN94" s="409"/>
      <c r="CO94" s="409">
        <v>-467.88606000000021</v>
      </c>
      <c r="CP94" s="409">
        <v>45.294840000000043</v>
      </c>
      <c r="CQ94" s="409">
        <v>31</v>
      </c>
      <c r="CR94" s="409">
        <v>80.646262457148623</v>
      </c>
      <c r="CS94" s="409">
        <v>0</v>
      </c>
      <c r="CT94" s="409">
        <v>0</v>
      </c>
      <c r="CU94" s="409">
        <v>0</v>
      </c>
      <c r="CV94" s="409">
        <v>0</v>
      </c>
      <c r="CW94" s="409">
        <v>0</v>
      </c>
      <c r="CX94" s="409">
        <v>0</v>
      </c>
      <c r="CY94" s="409">
        <v>0</v>
      </c>
      <c r="CZ94" s="409">
        <v>23.52274824659105</v>
      </c>
      <c r="DA94" s="409">
        <v>0</v>
      </c>
      <c r="DB94" s="409">
        <v>0</v>
      </c>
      <c r="DC94" s="409">
        <v>59.694674579759067</v>
      </c>
      <c r="DD94" s="409">
        <v>0</v>
      </c>
      <c r="DE94" s="409">
        <v>0</v>
      </c>
      <c r="DF94" s="409">
        <v>0</v>
      </c>
      <c r="DG94" s="409">
        <v>8.0985267789696422</v>
      </c>
      <c r="DH94" s="409">
        <v>0</v>
      </c>
      <c r="DI94" s="409">
        <v>0</v>
      </c>
      <c r="DJ94" s="409"/>
      <c r="DK94" s="409">
        <v>0</v>
      </c>
      <c r="DL94" s="409">
        <v>0</v>
      </c>
      <c r="DM94" s="409">
        <v>0</v>
      </c>
      <c r="DN94" s="409">
        <v>0</v>
      </c>
      <c r="DO94" s="409">
        <v>0</v>
      </c>
      <c r="DP94" s="409">
        <v>-0.54144718766241695</v>
      </c>
      <c r="DQ94" s="409">
        <v>0</v>
      </c>
      <c r="DR94" s="409">
        <v>-10.128239960508886</v>
      </c>
      <c r="DS94" s="409"/>
      <c r="DT94" s="409"/>
      <c r="DU94" s="409"/>
      <c r="DV94" s="409">
        <v>2195.3462615803096</v>
      </c>
      <c r="DW94" s="409">
        <v>0</v>
      </c>
      <c r="DX94" s="409">
        <v>0</v>
      </c>
      <c r="DY94" s="409">
        <v>-467.88606000000027</v>
      </c>
      <c r="DZ94" s="409">
        <v>45.294840000000022</v>
      </c>
      <c r="EA94" s="409">
        <v>0</v>
      </c>
      <c r="EB94" s="409">
        <v>0</v>
      </c>
      <c r="EC94" s="409">
        <v>-503.22498549298984</v>
      </c>
      <c r="ED94" s="409">
        <v>0</v>
      </c>
      <c r="EE94" s="409">
        <v>0</v>
      </c>
      <c r="EF94" s="409">
        <v>0</v>
      </c>
      <c r="EG94" s="409">
        <v>0</v>
      </c>
      <c r="EH94" s="409">
        <v>0</v>
      </c>
      <c r="EI94" s="409">
        <v>0</v>
      </c>
      <c r="EJ94" s="409">
        <v>0</v>
      </c>
      <c r="EK94" s="409">
        <v>0</v>
      </c>
      <c r="EL94" s="409">
        <v>0</v>
      </c>
      <c r="EM94" s="409">
        <v>0</v>
      </c>
      <c r="EN94" s="409">
        <v>0</v>
      </c>
      <c r="EO94" s="409">
        <v>0</v>
      </c>
      <c r="EP94" s="409">
        <v>0</v>
      </c>
      <c r="EQ94" s="409">
        <v>0</v>
      </c>
      <c r="ER94" s="409">
        <v>0</v>
      </c>
      <c r="ES94" s="409">
        <v>0</v>
      </c>
      <c r="ET94" s="409">
        <v>0</v>
      </c>
      <c r="EU94" s="409">
        <v>0</v>
      </c>
      <c r="EV94" s="409">
        <v>254</v>
      </c>
      <c r="EW94" s="409">
        <v>0</v>
      </c>
      <c r="EX94" s="409">
        <v>0</v>
      </c>
      <c r="EY94" s="409">
        <v>0</v>
      </c>
      <c r="EZ94" s="409"/>
      <c r="FA94" s="409">
        <v>0</v>
      </c>
      <c r="FB94" s="409"/>
      <c r="FC94" s="409"/>
      <c r="FD94" s="409"/>
      <c r="FE94" s="409"/>
      <c r="FF94" s="409">
        <v>0</v>
      </c>
      <c r="FG94" s="409">
        <v>0</v>
      </c>
      <c r="FH94" s="409">
        <v>0</v>
      </c>
      <c r="FI94" s="409">
        <v>0</v>
      </c>
    </row>
    <row r="95" spans="1:165" s="874" customFormat="1">
      <c r="A95" s="409">
        <v>93</v>
      </c>
      <c r="B95" s="409" t="s">
        <v>1035</v>
      </c>
      <c r="C95" s="409" t="s">
        <v>2244</v>
      </c>
      <c r="D95" s="409" t="s">
        <v>1994</v>
      </c>
      <c r="E95" s="409" t="s">
        <v>969</v>
      </c>
      <c r="F95" s="409" t="s">
        <v>1323</v>
      </c>
      <c r="G95" s="409" t="s">
        <v>1323</v>
      </c>
      <c r="H95" s="409" t="s">
        <v>1323</v>
      </c>
      <c r="I95" s="409" t="s">
        <v>1323</v>
      </c>
      <c r="J95" s="409" t="s">
        <v>2245</v>
      </c>
      <c r="K95" s="835">
        <v>44409</v>
      </c>
      <c r="L95" s="409">
        <v>0</v>
      </c>
      <c r="M95" s="409">
        <v>0</v>
      </c>
      <c r="N95" s="409">
        <v>0.39</v>
      </c>
      <c r="O95" s="409">
        <v>0.39</v>
      </c>
      <c r="P95" s="409">
        <v>0.39</v>
      </c>
      <c r="Q95" s="409">
        <v>0.39</v>
      </c>
      <c r="R95" s="409"/>
      <c r="S95" s="409">
        <v>597.01</v>
      </c>
      <c r="T95" s="409">
        <v>243.39</v>
      </c>
      <c r="U95" s="409"/>
      <c r="V95" s="409">
        <v>327.75599999999997</v>
      </c>
      <c r="W95" s="409">
        <v>327.75599999999997</v>
      </c>
      <c r="X95" s="409">
        <v>296.89920000000001</v>
      </c>
      <c r="Y95" s="409">
        <v>0</v>
      </c>
      <c r="Z95" s="409">
        <v>9.7045562114270645</v>
      </c>
      <c r="AA95" s="409">
        <v>0</v>
      </c>
      <c r="AB95" s="409">
        <v>0</v>
      </c>
      <c r="AC95" s="409">
        <v>0</v>
      </c>
      <c r="AD95" s="409">
        <v>45.703735587819658</v>
      </c>
      <c r="AE95" s="409">
        <v>159.91502465751228</v>
      </c>
      <c r="AF95" s="409">
        <v>94.921025472490626</v>
      </c>
      <c r="AG95" s="409">
        <v>0</v>
      </c>
      <c r="AH95" s="409">
        <v>0</v>
      </c>
      <c r="AI95" s="409">
        <v>0</v>
      </c>
      <c r="AJ95" s="409">
        <v>0</v>
      </c>
      <c r="AK95" s="409">
        <v>0</v>
      </c>
      <c r="AL95" s="409">
        <v>3.9620454219110699</v>
      </c>
      <c r="AM95" s="409"/>
      <c r="AN95" s="409">
        <v>0.66957985386130803</v>
      </c>
      <c r="AO95" s="409">
        <v>0</v>
      </c>
      <c r="AP95" s="409">
        <v>0</v>
      </c>
      <c r="AQ95" s="409">
        <v>0</v>
      </c>
      <c r="AR95" s="409">
        <v>0</v>
      </c>
      <c r="AS95" s="409">
        <v>0</v>
      </c>
      <c r="AT95" s="409">
        <v>0</v>
      </c>
      <c r="AU95" s="409">
        <v>0</v>
      </c>
      <c r="AV95" s="409">
        <v>0</v>
      </c>
      <c r="AW95" s="409">
        <v>0</v>
      </c>
      <c r="AX95" s="409">
        <v>0</v>
      </c>
      <c r="AY95" s="409">
        <v>0</v>
      </c>
      <c r="AZ95" s="409">
        <v>0</v>
      </c>
      <c r="BA95" s="409"/>
      <c r="BB95" s="409">
        <v>0</v>
      </c>
      <c r="BC95" s="409">
        <v>0</v>
      </c>
      <c r="BD95" s="409">
        <v>0</v>
      </c>
      <c r="BE95" s="409">
        <v>0</v>
      </c>
      <c r="BF95" s="409">
        <v>0</v>
      </c>
      <c r="BG95" s="409">
        <v>12.877538441878189</v>
      </c>
      <c r="BH95" s="409">
        <v>0</v>
      </c>
      <c r="BI95" s="409">
        <v>0</v>
      </c>
      <c r="BJ95" s="409">
        <v>0</v>
      </c>
      <c r="BK95" s="409">
        <v>0</v>
      </c>
      <c r="BL95" s="409">
        <v>3</v>
      </c>
      <c r="BM95" s="409"/>
      <c r="BN95" s="409"/>
      <c r="BO95" s="409"/>
      <c r="BP95" s="409"/>
      <c r="BQ95" s="409"/>
      <c r="BR95" s="409"/>
      <c r="BS95" s="409"/>
      <c r="BT95" s="409"/>
      <c r="BU95" s="409"/>
      <c r="BV95" s="409">
        <v>107.79856391436881</v>
      </c>
      <c r="BW95" s="409"/>
      <c r="BX95" s="409"/>
      <c r="BY95" s="409"/>
      <c r="BZ95" s="409"/>
      <c r="CA95" s="409"/>
      <c r="CB95" s="409"/>
      <c r="CC95" s="409"/>
      <c r="CD95" s="409"/>
      <c r="CE95" s="409"/>
      <c r="CF95" s="409"/>
      <c r="CG95" s="409"/>
      <c r="CH95" s="409"/>
      <c r="CI95" s="409">
        <v>296.89920000000001</v>
      </c>
      <c r="CJ95" s="409">
        <v>-30.886799999999937</v>
      </c>
      <c r="CK95" s="409"/>
      <c r="CL95" s="409"/>
      <c r="CM95" s="409"/>
      <c r="CN95" s="409"/>
      <c r="CO95" s="409">
        <v>-34.156199999999998</v>
      </c>
      <c r="CP95" s="409">
        <v>3.299400000000003</v>
      </c>
      <c r="CQ95" s="409">
        <v>31</v>
      </c>
      <c r="CR95" s="409">
        <v>5.8007909742325126</v>
      </c>
      <c r="CS95" s="409">
        <v>0</v>
      </c>
      <c r="CT95" s="409">
        <v>0</v>
      </c>
      <c r="CU95" s="409">
        <v>0</v>
      </c>
      <c r="CV95" s="409">
        <v>0</v>
      </c>
      <c r="CW95" s="409">
        <v>0</v>
      </c>
      <c r="CX95" s="409">
        <v>0</v>
      </c>
      <c r="CY95" s="409">
        <v>0</v>
      </c>
      <c r="CZ95" s="409">
        <v>1.713461302982914</v>
      </c>
      <c r="DA95" s="409">
        <v>0</v>
      </c>
      <c r="DB95" s="409">
        <v>0</v>
      </c>
      <c r="DC95" s="409">
        <v>4.3483233257575762</v>
      </c>
      <c r="DD95" s="409">
        <v>0</v>
      </c>
      <c r="DE95" s="409">
        <v>0</v>
      </c>
      <c r="DF95" s="409">
        <v>0</v>
      </c>
      <c r="DG95" s="409">
        <v>0.5899188352256548</v>
      </c>
      <c r="DH95" s="409">
        <v>0</v>
      </c>
      <c r="DI95" s="409">
        <v>-7.0774170909272627E-2</v>
      </c>
      <c r="DJ95" s="409"/>
      <c r="DK95" s="409">
        <v>0</v>
      </c>
      <c r="DL95" s="409">
        <v>0</v>
      </c>
      <c r="DM95" s="409">
        <v>0</v>
      </c>
      <c r="DN95" s="409">
        <v>0</v>
      </c>
      <c r="DO95" s="409">
        <v>-2.2222923453588006E-2</v>
      </c>
      <c r="DP95" s="409">
        <v>-3.9440493684785749E-2</v>
      </c>
      <c r="DQ95" s="409">
        <v>0</v>
      </c>
      <c r="DR95" s="409">
        <v>-0.71847490168599992</v>
      </c>
      <c r="DS95" s="409"/>
      <c r="DT95" s="409"/>
      <c r="DU95" s="409"/>
      <c r="DV95" s="409">
        <v>159.91502465751228</v>
      </c>
      <c r="DW95" s="409">
        <v>0</v>
      </c>
      <c r="DX95" s="409">
        <v>0</v>
      </c>
      <c r="DY95" s="409">
        <v>-34.156199999999984</v>
      </c>
      <c r="DZ95" s="409">
        <v>3.2994000000000057</v>
      </c>
      <c r="EA95" s="409">
        <v>0</v>
      </c>
      <c r="EB95" s="409">
        <v>0</v>
      </c>
      <c r="EC95" s="409">
        <v>-36.656283963815085</v>
      </c>
      <c r="ED95" s="409">
        <v>0</v>
      </c>
      <c r="EE95" s="409">
        <v>0</v>
      </c>
      <c r="EF95" s="409">
        <v>0</v>
      </c>
      <c r="EG95" s="409">
        <v>0</v>
      </c>
      <c r="EH95" s="409">
        <v>0</v>
      </c>
      <c r="EI95" s="409">
        <v>0</v>
      </c>
      <c r="EJ95" s="409">
        <v>0</v>
      </c>
      <c r="EK95" s="409">
        <v>0</v>
      </c>
      <c r="EL95" s="409">
        <v>0</v>
      </c>
      <c r="EM95" s="409">
        <v>0</v>
      </c>
      <c r="EN95" s="409">
        <v>0</v>
      </c>
      <c r="EO95" s="409">
        <v>0</v>
      </c>
      <c r="EP95" s="409">
        <v>0</v>
      </c>
      <c r="EQ95" s="409">
        <v>0</v>
      </c>
      <c r="ER95" s="409">
        <v>0</v>
      </c>
      <c r="ES95" s="409">
        <v>0</v>
      </c>
      <c r="ET95" s="409">
        <v>0</v>
      </c>
      <c r="EU95" s="409">
        <v>0</v>
      </c>
      <c r="EV95" s="409">
        <v>254</v>
      </c>
      <c r="EW95" s="409">
        <v>0</v>
      </c>
      <c r="EX95" s="409">
        <v>0</v>
      </c>
      <c r="EY95" s="409">
        <v>0</v>
      </c>
      <c r="EZ95" s="409"/>
      <c r="FA95" s="409">
        <v>0</v>
      </c>
      <c r="FB95" s="409"/>
      <c r="FC95" s="409"/>
      <c r="FD95" s="409"/>
      <c r="FE95" s="409"/>
      <c r="FF95" s="409">
        <v>0</v>
      </c>
      <c r="FG95" s="409">
        <v>0</v>
      </c>
      <c r="FH95" s="409">
        <v>0</v>
      </c>
      <c r="FI95" s="409">
        <v>0</v>
      </c>
    </row>
    <row r="96" spans="1:165" s="874" customFormat="1">
      <c r="A96" s="409">
        <v>94</v>
      </c>
      <c r="B96" s="409" t="s">
        <v>1035</v>
      </c>
      <c r="C96" s="409" t="s">
        <v>2251</v>
      </c>
      <c r="D96" s="409" t="s">
        <v>596</v>
      </c>
      <c r="E96" s="409" t="s">
        <v>969</v>
      </c>
      <c r="F96" s="409" t="s">
        <v>1323</v>
      </c>
      <c r="G96" s="409" t="s">
        <v>1323</v>
      </c>
      <c r="H96" s="409" t="s">
        <v>1323</v>
      </c>
      <c r="I96" s="409" t="s">
        <v>972</v>
      </c>
      <c r="J96" s="409" t="s">
        <v>2245</v>
      </c>
      <c r="K96" s="835">
        <v>44409</v>
      </c>
      <c r="L96" s="409">
        <v>0</v>
      </c>
      <c r="M96" s="409">
        <v>0</v>
      </c>
      <c r="N96" s="409">
        <v>0.28000000000000003</v>
      </c>
      <c r="O96" s="409">
        <v>0.28000000000000003</v>
      </c>
      <c r="P96" s="409">
        <v>0.28000000000000003</v>
      </c>
      <c r="Q96" s="409">
        <v>0.28000000000000003</v>
      </c>
      <c r="R96" s="409"/>
      <c r="S96" s="409">
        <v>2773.91</v>
      </c>
      <c r="T96" s="409">
        <v>243.39</v>
      </c>
      <c r="U96" s="409"/>
      <c r="V96" s="409">
        <v>844.84400000000005</v>
      </c>
      <c r="W96" s="409">
        <v>844.84400000000005</v>
      </c>
      <c r="X96" s="409">
        <v>727.26360000000011</v>
      </c>
      <c r="Y96" s="409">
        <v>0</v>
      </c>
      <c r="Z96" s="409">
        <v>6.0616151105221325</v>
      </c>
      <c r="AA96" s="409">
        <v>0</v>
      </c>
      <c r="AB96" s="409">
        <v>0</v>
      </c>
      <c r="AC96" s="409">
        <v>0</v>
      </c>
      <c r="AD96" s="409">
        <v>201.74210539455393</v>
      </c>
      <c r="AE96" s="409">
        <v>561.60878194323573</v>
      </c>
      <c r="AF96" s="409">
        <v>68.148428544352242</v>
      </c>
      <c r="AG96" s="409">
        <v>0</v>
      </c>
      <c r="AH96" s="409">
        <v>0</v>
      </c>
      <c r="AI96" s="409">
        <v>0</v>
      </c>
      <c r="AJ96" s="409">
        <v>0</v>
      </c>
      <c r="AK96" s="409">
        <v>0</v>
      </c>
      <c r="AL96" s="409">
        <v>2.8445454311156402</v>
      </c>
      <c r="AM96" s="409"/>
      <c r="AN96" s="409">
        <v>0.1942299859626801</v>
      </c>
      <c r="AO96" s="409">
        <v>0</v>
      </c>
      <c r="AP96" s="409">
        <v>0</v>
      </c>
      <c r="AQ96" s="409">
        <v>0</v>
      </c>
      <c r="AR96" s="409">
        <v>0</v>
      </c>
      <c r="AS96" s="409">
        <v>0</v>
      </c>
      <c r="AT96" s="409">
        <v>0</v>
      </c>
      <c r="AU96" s="409">
        <v>0</v>
      </c>
      <c r="AV96" s="409">
        <v>0</v>
      </c>
      <c r="AW96" s="409">
        <v>0</v>
      </c>
      <c r="AX96" s="409">
        <v>0</v>
      </c>
      <c r="AY96" s="409">
        <v>0</v>
      </c>
      <c r="AZ96" s="409">
        <v>0</v>
      </c>
      <c r="BA96" s="409"/>
      <c r="BB96" s="409">
        <v>0</v>
      </c>
      <c r="BC96" s="409">
        <v>0</v>
      </c>
      <c r="BD96" s="409">
        <v>0</v>
      </c>
      <c r="BE96" s="409">
        <v>0</v>
      </c>
      <c r="BF96" s="409">
        <v>0</v>
      </c>
      <c r="BG96" s="409">
        <v>4.2445561007180244</v>
      </c>
      <c r="BH96" s="409">
        <v>0</v>
      </c>
      <c r="BI96" s="409">
        <v>0</v>
      </c>
      <c r="BJ96" s="409">
        <v>0</v>
      </c>
      <c r="BK96" s="409">
        <v>0</v>
      </c>
      <c r="BL96" s="409">
        <v>0</v>
      </c>
      <c r="BM96" s="409"/>
      <c r="BN96" s="409"/>
      <c r="BO96" s="409"/>
      <c r="BP96" s="409"/>
      <c r="BQ96" s="409"/>
      <c r="BR96" s="409"/>
      <c r="BS96" s="409"/>
      <c r="BT96" s="409"/>
      <c r="BU96" s="409"/>
      <c r="BV96" s="409">
        <v>72.392984645070271</v>
      </c>
      <c r="BW96" s="409"/>
      <c r="BX96" s="409"/>
      <c r="BY96" s="409"/>
      <c r="BZ96" s="409"/>
      <c r="CA96" s="409"/>
      <c r="CB96" s="409"/>
      <c r="CC96" s="409"/>
      <c r="CD96" s="409"/>
      <c r="CE96" s="409"/>
      <c r="CF96" s="409"/>
      <c r="CG96" s="409"/>
      <c r="CH96" s="409"/>
      <c r="CI96" s="409">
        <v>727.26360000000011</v>
      </c>
      <c r="CJ96" s="409">
        <v>-117.61039999999991</v>
      </c>
      <c r="CK96" s="409"/>
      <c r="CL96" s="409"/>
      <c r="CM96" s="409"/>
      <c r="CN96" s="409"/>
      <c r="CO96" s="409">
        <v>-119.94919999999998</v>
      </c>
      <c r="CP96" s="409">
        <v>2.3688000000000025</v>
      </c>
      <c r="CQ96" s="409">
        <v>31</v>
      </c>
      <c r="CR96" s="409">
        <v>11.15282986886541</v>
      </c>
      <c r="CS96" s="409">
        <v>0</v>
      </c>
      <c r="CT96" s="409">
        <v>0</v>
      </c>
      <c r="CU96" s="409">
        <v>0</v>
      </c>
      <c r="CV96" s="409">
        <v>0</v>
      </c>
      <c r="CW96" s="409">
        <v>0</v>
      </c>
      <c r="CX96" s="409">
        <v>0</v>
      </c>
      <c r="CY96" s="409">
        <v>0</v>
      </c>
      <c r="CZ96" s="409">
        <v>7.5634362559187878</v>
      </c>
      <c r="DA96" s="409">
        <v>0</v>
      </c>
      <c r="DB96" s="409">
        <v>0</v>
      </c>
      <c r="DC96" s="409">
        <v>3.121873156954166</v>
      </c>
      <c r="DD96" s="409">
        <v>0</v>
      </c>
      <c r="DE96" s="409">
        <v>0</v>
      </c>
      <c r="DF96" s="409">
        <v>0</v>
      </c>
      <c r="DG96" s="409">
        <v>0.19444271918016387</v>
      </c>
      <c r="DH96" s="409">
        <v>0</v>
      </c>
      <c r="DI96" s="409">
        <v>-4.4206635983327303E-2</v>
      </c>
      <c r="DJ96" s="409"/>
      <c r="DK96" s="409">
        <v>0</v>
      </c>
      <c r="DL96" s="409">
        <v>0</v>
      </c>
      <c r="DM96" s="409">
        <v>0</v>
      </c>
      <c r="DN96" s="409">
        <v>0</v>
      </c>
      <c r="DO96" s="409">
        <v>-1.5954919402576095E-2</v>
      </c>
      <c r="DP96" s="409">
        <v>-1.1440796031393113E-2</v>
      </c>
      <c r="DQ96" s="409">
        <v>0</v>
      </c>
      <c r="DR96" s="409">
        <v>0.3446800882296045</v>
      </c>
      <c r="DS96" s="409"/>
      <c r="DT96" s="409"/>
      <c r="DU96" s="409"/>
      <c r="DV96" s="409">
        <v>561.60878194323573</v>
      </c>
      <c r="DW96" s="409">
        <v>0</v>
      </c>
      <c r="DX96" s="409">
        <v>0</v>
      </c>
      <c r="DY96" s="409">
        <v>-119.94919999999991</v>
      </c>
      <c r="DZ96" s="409">
        <v>2.3687999999999931</v>
      </c>
      <c r="EA96" s="409">
        <v>0</v>
      </c>
      <c r="EB96" s="409">
        <v>0</v>
      </c>
      <c r="EC96" s="409">
        <v>-128.73393873760847</v>
      </c>
      <c r="ED96" s="409">
        <v>0</v>
      </c>
      <c r="EE96" s="409">
        <v>0</v>
      </c>
      <c r="EF96" s="409">
        <v>0</v>
      </c>
      <c r="EG96" s="409">
        <v>0</v>
      </c>
      <c r="EH96" s="409">
        <v>0</v>
      </c>
      <c r="EI96" s="409">
        <v>0</v>
      </c>
      <c r="EJ96" s="409">
        <v>0</v>
      </c>
      <c r="EK96" s="409">
        <v>0</v>
      </c>
      <c r="EL96" s="409">
        <v>0</v>
      </c>
      <c r="EM96" s="409">
        <v>0</v>
      </c>
      <c r="EN96" s="409">
        <v>0</v>
      </c>
      <c r="EO96" s="409">
        <v>0</v>
      </c>
      <c r="EP96" s="409">
        <v>0</v>
      </c>
      <c r="EQ96" s="409">
        <v>0</v>
      </c>
      <c r="ER96" s="409">
        <v>0</v>
      </c>
      <c r="ES96" s="409">
        <v>0</v>
      </c>
      <c r="ET96" s="409">
        <v>0</v>
      </c>
      <c r="EU96" s="409">
        <v>0</v>
      </c>
      <c r="EV96" s="409">
        <v>254</v>
      </c>
      <c r="EW96" s="409">
        <v>0</v>
      </c>
      <c r="EX96" s="409">
        <v>0</v>
      </c>
      <c r="EY96" s="409">
        <v>0</v>
      </c>
      <c r="EZ96" s="409"/>
      <c r="FA96" s="409">
        <v>0</v>
      </c>
      <c r="FB96" s="409"/>
      <c r="FC96" s="409"/>
      <c r="FD96" s="409"/>
      <c r="FE96" s="409"/>
      <c r="FF96" s="409">
        <v>0</v>
      </c>
      <c r="FG96" s="409">
        <v>0</v>
      </c>
      <c r="FH96" s="409">
        <v>0</v>
      </c>
      <c r="FI96" s="409">
        <v>0</v>
      </c>
    </row>
    <row r="97" spans="1:165" s="874" customFormat="1">
      <c r="A97" s="409">
        <v>95</v>
      </c>
      <c r="B97" s="409" t="s">
        <v>1035</v>
      </c>
      <c r="C97" s="409" t="s">
        <v>2251</v>
      </c>
      <c r="D97" s="409" t="s">
        <v>596</v>
      </c>
      <c r="E97" s="409" t="s">
        <v>969</v>
      </c>
      <c r="F97" s="409" t="s">
        <v>1323</v>
      </c>
      <c r="G97" s="409" t="s">
        <v>1323</v>
      </c>
      <c r="H97" s="409" t="s">
        <v>1323</v>
      </c>
      <c r="I97" s="409" t="s">
        <v>2237</v>
      </c>
      <c r="J97" s="409" t="s">
        <v>2245</v>
      </c>
      <c r="K97" s="835">
        <v>44409</v>
      </c>
      <c r="L97" s="409">
        <v>0</v>
      </c>
      <c r="M97" s="409">
        <v>0</v>
      </c>
      <c r="N97" s="409">
        <v>24.585999999999999</v>
      </c>
      <c r="O97" s="409">
        <v>24.585999999999999</v>
      </c>
      <c r="P97" s="409">
        <v>24.585999999999999</v>
      </c>
      <c r="Q97" s="409">
        <v>24.585999999999999</v>
      </c>
      <c r="R97" s="409"/>
      <c r="S97" s="409">
        <v>47.66</v>
      </c>
      <c r="T97" s="409">
        <v>243.39</v>
      </c>
      <c r="U97" s="409"/>
      <c r="V97" s="409">
        <v>7155.7552999999989</v>
      </c>
      <c r="W97" s="409">
        <v>7155.7552999999989</v>
      </c>
      <c r="X97" s="409">
        <v>7376.2917199999993</v>
      </c>
      <c r="Y97" s="409">
        <v>0</v>
      </c>
      <c r="Z97" s="409">
        <v>532.25310395463259</v>
      </c>
      <c r="AA97" s="409">
        <v>0</v>
      </c>
      <c r="AB97" s="409">
        <v>0</v>
      </c>
      <c r="AC97" s="409">
        <v>0</v>
      </c>
      <c r="AD97" s="409">
        <v>0</v>
      </c>
      <c r="AE97" s="409">
        <v>0</v>
      </c>
      <c r="AF97" s="409">
        <v>5983.9188006837285</v>
      </c>
      <c r="AG97" s="409">
        <v>0</v>
      </c>
      <c r="AH97" s="409">
        <v>0</v>
      </c>
      <c r="AI97" s="409">
        <v>0</v>
      </c>
      <c r="AJ97" s="409">
        <v>0</v>
      </c>
      <c r="AK97" s="409">
        <v>0</v>
      </c>
      <c r="AL97" s="409">
        <v>249.77140703360399</v>
      </c>
      <c r="AM97" s="409"/>
      <c r="AN97" s="409">
        <v>17.054780124565898</v>
      </c>
      <c r="AO97" s="409">
        <v>0</v>
      </c>
      <c r="AP97" s="409">
        <v>0</v>
      </c>
      <c r="AQ97" s="409">
        <v>0</v>
      </c>
      <c r="AR97" s="409">
        <v>0</v>
      </c>
      <c r="AS97" s="409">
        <v>0</v>
      </c>
      <c r="AT97" s="409">
        <v>0</v>
      </c>
      <c r="AU97" s="409">
        <v>0</v>
      </c>
      <c r="AV97" s="409">
        <v>0</v>
      </c>
      <c r="AW97" s="409">
        <v>0</v>
      </c>
      <c r="AX97" s="409">
        <v>0</v>
      </c>
      <c r="AY97" s="409">
        <v>0</v>
      </c>
      <c r="AZ97" s="409">
        <v>0</v>
      </c>
      <c r="BA97" s="409"/>
      <c r="BB97" s="409">
        <v>0</v>
      </c>
      <c r="BC97" s="409">
        <v>0</v>
      </c>
      <c r="BD97" s="409">
        <v>0</v>
      </c>
      <c r="BE97" s="409">
        <v>0</v>
      </c>
      <c r="BF97" s="409">
        <v>0</v>
      </c>
      <c r="BG97" s="409">
        <v>372.70234390090479</v>
      </c>
      <c r="BH97" s="409">
        <v>0</v>
      </c>
      <c r="BI97" s="409">
        <v>0</v>
      </c>
      <c r="BJ97" s="409">
        <v>0</v>
      </c>
      <c r="BK97" s="409">
        <v>0</v>
      </c>
      <c r="BL97" s="409">
        <v>0</v>
      </c>
      <c r="BM97" s="409"/>
      <c r="BN97" s="409"/>
      <c r="BO97" s="409"/>
      <c r="BP97" s="409"/>
      <c r="BQ97" s="409"/>
      <c r="BR97" s="409"/>
      <c r="BS97" s="409"/>
      <c r="BT97" s="409"/>
      <c r="BU97" s="409"/>
      <c r="BV97" s="409">
        <v>6356.6211445846329</v>
      </c>
      <c r="BW97" s="409"/>
      <c r="BX97" s="409"/>
      <c r="BY97" s="409"/>
      <c r="BZ97" s="409"/>
      <c r="CA97" s="409"/>
      <c r="CB97" s="409"/>
      <c r="CC97" s="409"/>
      <c r="CD97" s="409"/>
      <c r="CE97" s="409"/>
      <c r="CF97" s="409"/>
      <c r="CG97" s="409"/>
      <c r="CH97" s="409"/>
      <c r="CI97" s="409">
        <v>7377.4917999999998</v>
      </c>
      <c r="CJ97" s="409">
        <v>221.70650000000023</v>
      </c>
      <c r="CK97" s="409"/>
      <c r="CL97" s="409"/>
      <c r="CM97" s="409"/>
      <c r="CN97" s="409"/>
      <c r="CO97" s="409">
        <v>12.538860000000126</v>
      </c>
      <c r="CP97" s="409">
        <v>207.99756000000019</v>
      </c>
      <c r="CQ97" s="409">
        <v>31</v>
      </c>
      <c r="CR97" s="409">
        <v>220.54826057249647</v>
      </c>
      <c r="CS97" s="409">
        <v>0</v>
      </c>
      <c r="CT97" s="409">
        <v>0</v>
      </c>
      <c r="CU97" s="409">
        <v>0</v>
      </c>
      <c r="CV97" s="409">
        <v>0</v>
      </c>
      <c r="CW97" s="409">
        <v>0</v>
      </c>
      <c r="CX97" s="409">
        <v>0</v>
      </c>
      <c r="CY97" s="409">
        <v>0</v>
      </c>
      <c r="CZ97" s="409">
        <v>0</v>
      </c>
      <c r="DA97" s="409">
        <v>0</v>
      </c>
      <c r="DB97" s="409">
        <v>0</v>
      </c>
      <c r="DC97" s="409">
        <v>274.12276227455368</v>
      </c>
      <c r="DD97" s="409">
        <v>0</v>
      </c>
      <c r="DE97" s="409">
        <v>0</v>
      </c>
      <c r="DF97" s="409">
        <v>0</v>
      </c>
      <c r="DG97" s="409">
        <v>17.073459620583947</v>
      </c>
      <c r="DH97" s="409">
        <v>0</v>
      </c>
      <c r="DI97" s="409">
        <v>-3.8816584010218094</v>
      </c>
      <c r="DJ97" s="409"/>
      <c r="DK97" s="409">
        <v>0</v>
      </c>
      <c r="DL97" s="409">
        <v>0</v>
      </c>
      <c r="DM97" s="409">
        <v>0</v>
      </c>
      <c r="DN97" s="409">
        <v>0</v>
      </c>
      <c r="DO97" s="409">
        <v>-1.4009558872562025</v>
      </c>
      <c r="DP97" s="409">
        <v>-1.0045836115279663</v>
      </c>
      <c r="DQ97" s="409">
        <v>0</v>
      </c>
      <c r="DR97" s="409">
        <v>-64.360763422834907</v>
      </c>
      <c r="DS97" s="409"/>
      <c r="DT97" s="409"/>
      <c r="DU97" s="409"/>
      <c r="DV97" s="409">
        <v>0</v>
      </c>
      <c r="DW97" s="409">
        <v>0</v>
      </c>
      <c r="DX97" s="409">
        <v>0</v>
      </c>
      <c r="DY97" s="409">
        <v>12.538860000000113</v>
      </c>
      <c r="DZ97" s="409">
        <v>207.9975600000007</v>
      </c>
      <c r="EA97" s="409">
        <v>0</v>
      </c>
      <c r="EB97" s="409">
        <v>0</v>
      </c>
      <c r="EC97" s="409">
        <v>0</v>
      </c>
      <c r="ED97" s="409">
        <v>0</v>
      </c>
      <c r="EE97" s="409">
        <v>0</v>
      </c>
      <c r="EF97" s="409">
        <v>0</v>
      </c>
      <c r="EG97" s="409">
        <v>0</v>
      </c>
      <c r="EH97" s="409">
        <v>0</v>
      </c>
      <c r="EI97" s="409">
        <v>0</v>
      </c>
      <c r="EJ97" s="409">
        <v>0</v>
      </c>
      <c r="EK97" s="409">
        <v>0</v>
      </c>
      <c r="EL97" s="409">
        <v>0</v>
      </c>
      <c r="EM97" s="409">
        <v>0</v>
      </c>
      <c r="EN97" s="409">
        <v>0</v>
      </c>
      <c r="EO97" s="409">
        <v>0</v>
      </c>
      <c r="EP97" s="409">
        <v>0</v>
      </c>
      <c r="EQ97" s="409">
        <v>0</v>
      </c>
      <c r="ER97" s="409">
        <v>0</v>
      </c>
      <c r="ES97" s="409">
        <v>0</v>
      </c>
      <c r="ET97" s="409">
        <v>0</v>
      </c>
      <c r="EU97" s="409">
        <v>0</v>
      </c>
      <c r="EV97" s="409">
        <v>254</v>
      </c>
      <c r="EW97" s="409">
        <v>0</v>
      </c>
      <c r="EX97" s="409">
        <v>0</v>
      </c>
      <c r="EY97" s="409">
        <v>0</v>
      </c>
      <c r="EZ97" s="409"/>
      <c r="FA97" s="409">
        <v>0</v>
      </c>
      <c r="FB97" s="409"/>
      <c r="FC97" s="409"/>
      <c r="FD97" s="409"/>
      <c r="FE97" s="409"/>
      <c r="FF97" s="409">
        <v>0</v>
      </c>
      <c r="FG97" s="409">
        <v>0</v>
      </c>
      <c r="FH97" s="409">
        <v>0</v>
      </c>
      <c r="FI97" s="409">
        <v>0</v>
      </c>
    </row>
    <row r="98" spans="1:165" s="874" customFormat="1">
      <c r="A98" s="409">
        <v>96</v>
      </c>
      <c r="B98" s="409" t="s">
        <v>1035</v>
      </c>
      <c r="C98" s="409" t="s">
        <v>2251</v>
      </c>
      <c r="D98" s="409" t="s">
        <v>596</v>
      </c>
      <c r="E98" s="409" t="s">
        <v>969</v>
      </c>
      <c r="F98" s="409" t="s">
        <v>1323</v>
      </c>
      <c r="G98" s="409" t="s">
        <v>1323</v>
      </c>
      <c r="H98" s="409" t="s">
        <v>1323</v>
      </c>
      <c r="I98" s="409" t="s">
        <v>1323</v>
      </c>
      <c r="J98" s="409" t="s">
        <v>2245</v>
      </c>
      <c r="K98" s="835">
        <v>44409</v>
      </c>
      <c r="L98" s="409">
        <v>120</v>
      </c>
      <c r="M98" s="409">
        <v>120</v>
      </c>
      <c r="N98" s="409">
        <v>0</v>
      </c>
      <c r="O98" s="409">
        <v>0</v>
      </c>
      <c r="P98" s="409">
        <v>0</v>
      </c>
      <c r="Q98" s="409">
        <v>0</v>
      </c>
      <c r="R98" s="409">
        <v>50.27</v>
      </c>
      <c r="S98" s="409"/>
      <c r="T98" s="409"/>
      <c r="U98" s="409">
        <v>6032.4000000000005</v>
      </c>
      <c r="V98" s="409"/>
      <c r="W98" s="409">
        <v>6032.4000000000005</v>
      </c>
      <c r="X98" s="409">
        <v>5424</v>
      </c>
      <c r="Y98" s="409">
        <v>0</v>
      </c>
      <c r="Z98" s="409">
        <v>0</v>
      </c>
      <c r="AA98" s="409">
        <v>0</v>
      </c>
      <c r="AB98" s="409">
        <v>0</v>
      </c>
      <c r="AC98" s="409">
        <v>0</v>
      </c>
      <c r="AD98" s="409">
        <v>2875.1919811512239</v>
      </c>
      <c r="AE98" s="409">
        <v>3156.6615245067596</v>
      </c>
      <c r="AF98" s="409"/>
      <c r="AG98" s="409"/>
      <c r="AH98" s="409"/>
      <c r="AI98" s="409">
        <v>0</v>
      </c>
      <c r="AJ98" s="409">
        <v>0</v>
      </c>
      <c r="AK98" s="409">
        <v>0</v>
      </c>
      <c r="AL98" s="409">
        <v>0</v>
      </c>
      <c r="AM98" s="409"/>
      <c r="AN98" s="409">
        <v>0</v>
      </c>
      <c r="AO98" s="409">
        <v>0</v>
      </c>
      <c r="AP98" s="409">
        <v>0</v>
      </c>
      <c r="AQ98" s="409">
        <v>0</v>
      </c>
      <c r="AR98" s="409">
        <v>0</v>
      </c>
      <c r="AS98" s="409"/>
      <c r="AT98" s="409"/>
      <c r="AU98" s="409">
        <v>0</v>
      </c>
      <c r="AV98" s="409">
        <v>0</v>
      </c>
      <c r="AW98" s="409">
        <v>0</v>
      </c>
      <c r="AX98" s="409"/>
      <c r="AY98" s="409"/>
      <c r="AZ98" s="409">
        <v>0</v>
      </c>
      <c r="BA98" s="409"/>
      <c r="BB98" s="409">
        <v>0</v>
      </c>
      <c r="BC98" s="409">
        <v>0</v>
      </c>
      <c r="BD98" s="409">
        <v>0</v>
      </c>
      <c r="BE98" s="409">
        <v>0</v>
      </c>
      <c r="BF98" s="409"/>
      <c r="BG98" s="409">
        <v>0</v>
      </c>
      <c r="BH98" s="409">
        <v>0</v>
      </c>
      <c r="BI98" s="409">
        <v>0</v>
      </c>
      <c r="BJ98" s="409">
        <v>0</v>
      </c>
      <c r="BK98" s="409">
        <v>0</v>
      </c>
      <c r="BL98" s="409">
        <v>1</v>
      </c>
      <c r="BM98" s="409"/>
      <c r="BN98" s="409"/>
      <c r="BO98" s="409"/>
      <c r="BP98" s="409"/>
      <c r="BQ98" s="409"/>
      <c r="BR98" s="409"/>
      <c r="BS98" s="409"/>
      <c r="BT98" s="409"/>
      <c r="BU98" s="409"/>
      <c r="BV98" s="409">
        <v>0</v>
      </c>
      <c r="BW98" s="409"/>
      <c r="BX98" s="409"/>
      <c r="BY98" s="409"/>
      <c r="BZ98" s="409"/>
      <c r="CA98" s="409"/>
      <c r="CB98" s="409"/>
      <c r="CC98" s="409"/>
      <c r="CD98" s="409"/>
      <c r="CE98" s="409"/>
      <c r="CF98" s="409"/>
      <c r="CG98" s="409"/>
      <c r="CH98" s="409"/>
      <c r="CI98" s="409">
        <v>5424</v>
      </c>
      <c r="CJ98" s="409">
        <v>-608.4300000000012</v>
      </c>
      <c r="CK98" s="409"/>
      <c r="CL98" s="409"/>
      <c r="CM98" s="409"/>
      <c r="CN98" s="409"/>
      <c r="CO98" s="409">
        <v>-608.40000000000009</v>
      </c>
      <c r="CP98" s="409">
        <v>0</v>
      </c>
      <c r="CQ98" s="409">
        <v>31</v>
      </c>
      <c r="CR98" s="409">
        <v>116.30817949722041</v>
      </c>
      <c r="CS98" s="409">
        <v>0</v>
      </c>
      <c r="CT98" s="409">
        <v>0</v>
      </c>
      <c r="CU98" s="409">
        <v>0</v>
      </c>
      <c r="CV98" s="409">
        <v>0</v>
      </c>
      <c r="CW98" s="409"/>
      <c r="CX98" s="409"/>
      <c r="CY98" s="409"/>
      <c r="CZ98" s="409">
        <v>107.79272492689233</v>
      </c>
      <c r="DA98" s="409">
        <v>0</v>
      </c>
      <c r="DB98" s="409">
        <v>0</v>
      </c>
      <c r="DC98" s="409"/>
      <c r="DD98" s="409"/>
      <c r="DE98" s="409">
        <v>0</v>
      </c>
      <c r="DF98" s="409">
        <v>0</v>
      </c>
      <c r="DG98" s="409">
        <v>0</v>
      </c>
      <c r="DH98" s="409">
        <v>0</v>
      </c>
      <c r="DI98" s="409">
        <v>0</v>
      </c>
      <c r="DJ98" s="409"/>
      <c r="DK98" s="409">
        <v>0</v>
      </c>
      <c r="DL98" s="409">
        <v>0</v>
      </c>
      <c r="DM98" s="409"/>
      <c r="DN98" s="409">
        <v>0</v>
      </c>
      <c r="DO98" s="409">
        <v>0</v>
      </c>
      <c r="DP98" s="409">
        <v>0</v>
      </c>
      <c r="DQ98" s="409">
        <v>0</v>
      </c>
      <c r="DR98" s="409">
        <v>8.5154545703282878</v>
      </c>
      <c r="DS98" s="409"/>
      <c r="DT98" s="409"/>
      <c r="DU98" s="409">
        <v>3156.6615245067596</v>
      </c>
      <c r="DV98" s="409"/>
      <c r="DW98" s="409">
        <v>0</v>
      </c>
      <c r="DX98" s="409">
        <v>0</v>
      </c>
      <c r="DY98" s="409">
        <v>-608.40000000000055</v>
      </c>
      <c r="DZ98" s="409"/>
      <c r="EA98" s="409">
        <v>0</v>
      </c>
      <c r="EB98" s="409"/>
      <c r="EC98" s="409">
        <v>-723.58104854615976</v>
      </c>
      <c r="ED98" s="409"/>
      <c r="EE98" s="409">
        <v>0</v>
      </c>
      <c r="EF98" s="409">
        <v>0</v>
      </c>
      <c r="EG98" s="409"/>
      <c r="EH98" s="409">
        <v>0</v>
      </c>
      <c r="EI98" s="409">
        <v>0</v>
      </c>
      <c r="EJ98" s="409">
        <v>0</v>
      </c>
      <c r="EK98" s="409">
        <v>0</v>
      </c>
      <c r="EL98" s="409">
        <v>0</v>
      </c>
      <c r="EM98" s="409"/>
      <c r="EN98" s="409"/>
      <c r="EO98" s="409">
        <v>0</v>
      </c>
      <c r="EP98" s="409">
        <v>0</v>
      </c>
      <c r="EQ98" s="409"/>
      <c r="ER98" s="409">
        <v>0</v>
      </c>
      <c r="ES98" s="409"/>
      <c r="ET98" s="409">
        <v>0</v>
      </c>
      <c r="EU98" s="409"/>
      <c r="EV98" s="409">
        <v>254</v>
      </c>
      <c r="EW98" s="409"/>
      <c r="EX98" s="409"/>
      <c r="EY98" s="409"/>
      <c r="EZ98" s="409"/>
      <c r="FA98" s="409">
        <v>0</v>
      </c>
      <c r="FB98" s="409"/>
      <c r="FC98" s="409"/>
      <c r="FD98" s="409"/>
      <c r="FE98" s="409"/>
      <c r="FF98" s="409">
        <v>0</v>
      </c>
      <c r="FG98" s="409">
        <v>0</v>
      </c>
      <c r="FH98" s="409">
        <v>0</v>
      </c>
      <c r="FI98" s="409">
        <v>0</v>
      </c>
    </row>
    <row r="99" spans="1:165" s="874" customFormat="1">
      <c r="A99" s="409">
        <v>97</v>
      </c>
      <c r="B99" s="409" t="s">
        <v>1035</v>
      </c>
      <c r="C99" s="409" t="s">
        <v>2244</v>
      </c>
      <c r="D99" s="409" t="s">
        <v>1994</v>
      </c>
      <c r="E99" s="409" t="s">
        <v>997</v>
      </c>
      <c r="F99" s="409" t="s">
        <v>1323</v>
      </c>
      <c r="G99" s="409" t="s">
        <v>1323</v>
      </c>
      <c r="H99" s="409" t="s">
        <v>1323</v>
      </c>
      <c r="I99" s="409" t="s">
        <v>1323</v>
      </c>
      <c r="J99" s="409" t="s">
        <v>2245</v>
      </c>
      <c r="K99" s="835">
        <v>44409</v>
      </c>
      <c r="L99" s="409">
        <v>0</v>
      </c>
      <c r="M99" s="409">
        <v>0</v>
      </c>
      <c r="N99" s="409">
        <v>54.72</v>
      </c>
      <c r="O99" s="409">
        <v>54.72</v>
      </c>
      <c r="P99" s="409">
        <v>54.72</v>
      </c>
      <c r="Q99" s="409">
        <v>54.72</v>
      </c>
      <c r="R99" s="409"/>
      <c r="S99" s="409">
        <v>597.01</v>
      </c>
      <c r="T99" s="409">
        <v>243.39</v>
      </c>
      <c r="U99" s="409"/>
      <c r="V99" s="409">
        <v>45986.687999999995</v>
      </c>
      <c r="W99" s="409">
        <v>45986.687999999995</v>
      </c>
      <c r="X99" s="409">
        <v>41657.241600000001</v>
      </c>
      <c r="Y99" s="409">
        <v>0</v>
      </c>
      <c r="Z99" s="409">
        <v>1361.6238868956127</v>
      </c>
      <c r="AA99" s="409">
        <v>0</v>
      </c>
      <c r="AB99" s="409">
        <v>0</v>
      </c>
      <c r="AC99" s="409">
        <v>0</v>
      </c>
      <c r="AD99" s="409">
        <v>6412.5856701679277</v>
      </c>
      <c r="AE99" s="409">
        <v>22437.308075023258</v>
      </c>
      <c r="AF99" s="409">
        <v>13318.150035524837</v>
      </c>
      <c r="AG99" s="409">
        <v>0</v>
      </c>
      <c r="AH99" s="409">
        <v>0</v>
      </c>
      <c r="AI99" s="409">
        <v>0</v>
      </c>
      <c r="AJ99" s="409">
        <v>0</v>
      </c>
      <c r="AK99" s="409">
        <v>0</v>
      </c>
      <c r="AL99" s="409">
        <v>555.90544996659935</v>
      </c>
      <c r="AM99" s="409"/>
      <c r="AN99" s="409">
        <v>93.94720411100198</v>
      </c>
      <c r="AO99" s="409">
        <v>0</v>
      </c>
      <c r="AP99" s="409">
        <v>0</v>
      </c>
      <c r="AQ99" s="409">
        <v>0</v>
      </c>
      <c r="AR99" s="409">
        <v>0</v>
      </c>
      <c r="AS99" s="409">
        <v>0</v>
      </c>
      <c r="AT99" s="409">
        <v>0</v>
      </c>
      <c r="AU99" s="409">
        <v>0</v>
      </c>
      <c r="AV99" s="409">
        <v>0</v>
      </c>
      <c r="AW99" s="409">
        <v>0</v>
      </c>
      <c r="AX99" s="409">
        <v>0</v>
      </c>
      <c r="AY99" s="409">
        <v>0</v>
      </c>
      <c r="AZ99" s="409">
        <v>0</v>
      </c>
      <c r="BA99" s="409"/>
      <c r="BB99" s="409">
        <v>0</v>
      </c>
      <c r="BC99" s="409">
        <v>0</v>
      </c>
      <c r="BD99" s="409">
        <v>0</v>
      </c>
      <c r="BE99" s="409">
        <v>0</v>
      </c>
      <c r="BF99" s="409">
        <v>0</v>
      </c>
      <c r="BG99" s="409">
        <v>1806.8177013835241</v>
      </c>
      <c r="BH99" s="409">
        <v>0</v>
      </c>
      <c r="BI99" s="409">
        <v>70.09</v>
      </c>
      <c r="BJ99" s="409">
        <v>323.45999999999998</v>
      </c>
      <c r="BK99" s="409">
        <v>4103.7</v>
      </c>
      <c r="BL99" s="409">
        <v>205</v>
      </c>
      <c r="BM99" s="409"/>
      <c r="BN99" s="409"/>
      <c r="BO99" s="409"/>
      <c r="BP99" s="409"/>
      <c r="BQ99" s="409"/>
      <c r="BR99" s="409"/>
      <c r="BS99" s="409"/>
      <c r="BT99" s="409"/>
      <c r="BU99" s="409"/>
      <c r="BV99" s="409">
        <v>15124.967736908362</v>
      </c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>
        <v>41657.241600000001</v>
      </c>
      <c r="CJ99" s="409">
        <v>-4329.4763999999923</v>
      </c>
      <c r="CK99" s="409"/>
      <c r="CL99" s="409"/>
      <c r="CM99" s="409"/>
      <c r="CN99" s="409"/>
      <c r="CO99" s="409">
        <v>-4792.3775999999989</v>
      </c>
      <c r="CP99" s="409">
        <v>462.93120000000044</v>
      </c>
      <c r="CQ99" s="409">
        <v>31</v>
      </c>
      <c r="CR99" s="409">
        <v>813.89559515384826</v>
      </c>
      <c r="CS99" s="409">
        <v>0</v>
      </c>
      <c r="CT99" s="409">
        <v>0</v>
      </c>
      <c r="CU99" s="409">
        <v>0</v>
      </c>
      <c r="CV99" s="409">
        <v>0</v>
      </c>
      <c r="CW99" s="409">
        <v>0</v>
      </c>
      <c r="CX99" s="409">
        <v>0</v>
      </c>
      <c r="CY99" s="409">
        <v>0</v>
      </c>
      <c r="CZ99" s="409">
        <v>240.41180128006363</v>
      </c>
      <c r="DA99" s="409">
        <v>0</v>
      </c>
      <c r="DB99" s="409">
        <v>0</v>
      </c>
      <c r="DC99" s="409">
        <v>610.10321124475558</v>
      </c>
      <c r="DD99" s="409">
        <v>0</v>
      </c>
      <c r="DE99" s="409">
        <v>0</v>
      </c>
      <c r="DF99" s="409">
        <v>0</v>
      </c>
      <c r="DG99" s="409">
        <v>82.77015041935374</v>
      </c>
      <c r="DH99" s="409">
        <v>0</v>
      </c>
      <c r="DI99" s="409">
        <v>-9.9301605952703085</v>
      </c>
      <c r="DJ99" s="409"/>
      <c r="DK99" s="409">
        <v>0</v>
      </c>
      <c r="DL99" s="409">
        <v>0</v>
      </c>
      <c r="DM99" s="409">
        <v>0</v>
      </c>
      <c r="DN99" s="409">
        <v>0</v>
      </c>
      <c r="DO99" s="409">
        <v>-3.1180471061034041</v>
      </c>
      <c r="DP99" s="409">
        <v>-5.5338046523883975</v>
      </c>
      <c r="DQ99" s="409">
        <v>0</v>
      </c>
      <c r="DR99" s="409">
        <v>-100.80755543655874</v>
      </c>
      <c r="DS99" s="409"/>
      <c r="DT99" s="409"/>
      <c r="DU99" s="409"/>
      <c r="DV99" s="409">
        <v>22437.308075023258</v>
      </c>
      <c r="DW99" s="409">
        <v>0</v>
      </c>
      <c r="DX99" s="409">
        <v>0</v>
      </c>
      <c r="DY99" s="409">
        <v>-4792.3775999999962</v>
      </c>
      <c r="DZ99" s="409">
        <v>462.9312000000009</v>
      </c>
      <c r="EA99" s="409">
        <v>0</v>
      </c>
      <c r="EB99" s="409">
        <v>0</v>
      </c>
      <c r="EC99" s="409">
        <v>-5143.1586115383616</v>
      </c>
      <c r="ED99" s="409">
        <v>0</v>
      </c>
      <c r="EE99" s="409">
        <v>0</v>
      </c>
      <c r="EF99" s="409">
        <v>0</v>
      </c>
      <c r="EG99" s="409">
        <v>0</v>
      </c>
      <c r="EH99" s="409">
        <v>0</v>
      </c>
      <c r="EI99" s="409">
        <v>0</v>
      </c>
      <c r="EJ99" s="409">
        <v>0</v>
      </c>
      <c r="EK99" s="409">
        <v>0</v>
      </c>
      <c r="EL99" s="409">
        <v>0</v>
      </c>
      <c r="EM99" s="409">
        <v>0</v>
      </c>
      <c r="EN99" s="409">
        <v>0</v>
      </c>
      <c r="EO99" s="409">
        <v>0</v>
      </c>
      <c r="EP99" s="409">
        <v>0</v>
      </c>
      <c r="EQ99" s="409">
        <v>0</v>
      </c>
      <c r="ER99" s="409">
        <v>0</v>
      </c>
      <c r="ES99" s="409">
        <v>0</v>
      </c>
      <c r="ET99" s="409">
        <v>0</v>
      </c>
      <c r="EU99" s="409">
        <v>0</v>
      </c>
      <c r="EV99" s="409">
        <v>254</v>
      </c>
      <c r="EW99" s="409">
        <v>0</v>
      </c>
      <c r="EX99" s="409">
        <v>0</v>
      </c>
      <c r="EY99" s="409">
        <v>0</v>
      </c>
      <c r="EZ99" s="409"/>
      <c r="FA99" s="409">
        <v>0</v>
      </c>
      <c r="FB99" s="409"/>
      <c r="FC99" s="409"/>
      <c r="FD99" s="409"/>
      <c r="FE99" s="409"/>
      <c r="FF99" s="409">
        <v>0</v>
      </c>
      <c r="FG99" s="409">
        <v>0</v>
      </c>
      <c r="FH99" s="409">
        <v>0</v>
      </c>
      <c r="FI99" s="409">
        <v>0</v>
      </c>
    </row>
    <row r="100" spans="1:165" s="874" customFormat="1">
      <c r="A100" s="409">
        <v>98</v>
      </c>
      <c r="B100" s="409" t="s">
        <v>2246</v>
      </c>
      <c r="C100" s="409" t="s">
        <v>2244</v>
      </c>
      <c r="D100" s="409" t="s">
        <v>1994</v>
      </c>
      <c r="E100" s="409" t="s">
        <v>997</v>
      </c>
      <c r="F100" s="409" t="s">
        <v>1323</v>
      </c>
      <c r="G100" s="409" t="s">
        <v>1323</v>
      </c>
      <c r="H100" s="409" t="s">
        <v>1323</v>
      </c>
      <c r="I100" s="409" t="s">
        <v>1323</v>
      </c>
      <c r="J100" s="409" t="s">
        <v>2245</v>
      </c>
      <c r="K100" s="835">
        <v>44409</v>
      </c>
      <c r="L100" s="409">
        <v>0</v>
      </c>
      <c r="M100" s="409">
        <v>0</v>
      </c>
      <c r="N100" s="409">
        <v>3.36</v>
      </c>
      <c r="O100" s="409">
        <v>3.36</v>
      </c>
      <c r="P100" s="409">
        <v>3.36</v>
      </c>
      <c r="Q100" s="409">
        <v>3.36</v>
      </c>
      <c r="R100" s="409"/>
      <c r="S100" s="409">
        <v>597.01</v>
      </c>
      <c r="T100" s="409">
        <v>243.39</v>
      </c>
      <c r="U100" s="409"/>
      <c r="V100" s="409">
        <v>2823.7439999999997</v>
      </c>
      <c r="W100" s="409">
        <v>2823.7439999999997</v>
      </c>
      <c r="X100" s="409">
        <v>2557.9007999999999</v>
      </c>
      <c r="Y100" s="409">
        <v>0</v>
      </c>
      <c r="Z100" s="409">
        <v>83.60848428306393</v>
      </c>
      <c r="AA100" s="409">
        <v>0</v>
      </c>
      <c r="AB100" s="409">
        <v>0</v>
      </c>
      <c r="AC100" s="409">
        <v>0</v>
      </c>
      <c r="AD100" s="409">
        <v>393.75526044890785</v>
      </c>
      <c r="AE100" s="409">
        <v>1377.7294432031827</v>
      </c>
      <c r="AF100" s="409">
        <v>817.7811425322268</v>
      </c>
      <c r="AG100" s="409">
        <v>0</v>
      </c>
      <c r="AH100" s="409">
        <v>0</v>
      </c>
      <c r="AI100" s="409">
        <v>0</v>
      </c>
      <c r="AJ100" s="409">
        <v>0</v>
      </c>
      <c r="AK100" s="409">
        <v>0</v>
      </c>
      <c r="AL100" s="409">
        <v>34.134545173387679</v>
      </c>
      <c r="AM100" s="409"/>
      <c r="AN100" s="409">
        <v>5.768687971728192</v>
      </c>
      <c r="AO100" s="409">
        <v>0</v>
      </c>
      <c r="AP100" s="409">
        <v>0</v>
      </c>
      <c r="AQ100" s="409">
        <v>0</v>
      </c>
      <c r="AR100" s="409">
        <v>0</v>
      </c>
      <c r="AS100" s="409">
        <v>0</v>
      </c>
      <c r="AT100" s="409">
        <v>0</v>
      </c>
      <c r="AU100" s="409">
        <v>0</v>
      </c>
      <c r="AV100" s="409">
        <v>0</v>
      </c>
      <c r="AW100" s="409">
        <v>0</v>
      </c>
      <c r="AX100" s="409">
        <v>0</v>
      </c>
      <c r="AY100" s="409">
        <v>0</v>
      </c>
      <c r="AZ100" s="409">
        <v>0</v>
      </c>
      <c r="BA100" s="409"/>
      <c r="BB100" s="409">
        <v>0</v>
      </c>
      <c r="BC100" s="409">
        <v>0</v>
      </c>
      <c r="BD100" s="409">
        <v>0</v>
      </c>
      <c r="BE100" s="409">
        <v>0</v>
      </c>
      <c r="BF100" s="409">
        <v>0</v>
      </c>
      <c r="BG100" s="409">
        <v>110.94494657618131</v>
      </c>
      <c r="BH100" s="409">
        <v>0</v>
      </c>
      <c r="BI100" s="409">
        <v>0</v>
      </c>
      <c r="BJ100" s="409">
        <v>0</v>
      </c>
      <c r="BK100" s="409">
        <v>0</v>
      </c>
      <c r="BL100" s="409">
        <v>6</v>
      </c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>
        <v>928.72608910840813</v>
      </c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>
        <v>2557.9007999999999</v>
      </c>
      <c r="CJ100" s="409">
        <v>-265.8732</v>
      </c>
      <c r="CK100" s="409"/>
      <c r="CL100" s="409"/>
      <c r="CM100" s="409"/>
      <c r="CN100" s="409"/>
      <c r="CO100" s="409">
        <v>-294.26879999999994</v>
      </c>
      <c r="CP100" s="409">
        <v>28.425600000000024</v>
      </c>
      <c r="CQ100" s="409">
        <v>31</v>
      </c>
      <c r="CR100" s="409">
        <v>49.976045316464706</v>
      </c>
      <c r="CS100" s="409">
        <v>0</v>
      </c>
      <c r="CT100" s="409">
        <v>0</v>
      </c>
      <c r="CU100" s="409">
        <v>0</v>
      </c>
      <c r="CV100" s="409">
        <v>0</v>
      </c>
      <c r="CW100" s="409">
        <v>0</v>
      </c>
      <c r="CX100" s="409">
        <v>0</v>
      </c>
      <c r="CY100" s="409">
        <v>0</v>
      </c>
      <c r="CZ100" s="409">
        <v>14.762128148775844</v>
      </c>
      <c r="DA100" s="409">
        <v>0</v>
      </c>
      <c r="DB100" s="409">
        <v>0</v>
      </c>
      <c r="DC100" s="409">
        <v>37.462477883449992</v>
      </c>
      <c r="DD100" s="409">
        <v>0</v>
      </c>
      <c r="DE100" s="409">
        <v>0</v>
      </c>
      <c r="DF100" s="409">
        <v>0</v>
      </c>
      <c r="DG100" s="409">
        <v>5.0823776573287205</v>
      </c>
      <c r="DH100" s="409">
        <v>0</v>
      </c>
      <c r="DI100" s="409">
        <v>-0.60974670321834878</v>
      </c>
      <c r="DJ100" s="409"/>
      <c r="DK100" s="409">
        <v>0</v>
      </c>
      <c r="DL100" s="409">
        <v>0</v>
      </c>
      <c r="DM100" s="409">
        <v>0</v>
      </c>
      <c r="DN100" s="409">
        <v>0</v>
      </c>
      <c r="DO100" s="409">
        <v>-0.19145903283091315</v>
      </c>
      <c r="DP100" s="409">
        <v>-0.33979502251507743</v>
      </c>
      <c r="DQ100" s="409">
        <v>0</v>
      </c>
      <c r="DR100" s="409">
        <v>-6.1899376145255376</v>
      </c>
      <c r="DS100" s="409"/>
      <c r="DT100" s="409"/>
      <c r="DU100" s="409"/>
      <c r="DV100" s="409">
        <v>1377.7294432031827</v>
      </c>
      <c r="DW100" s="409">
        <v>0</v>
      </c>
      <c r="DX100" s="409">
        <v>0</v>
      </c>
      <c r="DY100" s="409">
        <v>-294.26879999999983</v>
      </c>
      <c r="DZ100" s="409">
        <v>28.425599999999918</v>
      </c>
      <c r="EA100" s="409">
        <v>0</v>
      </c>
      <c r="EB100" s="409">
        <v>0</v>
      </c>
      <c r="EC100" s="409">
        <v>-315.80798491902237</v>
      </c>
      <c r="ED100" s="409">
        <v>0</v>
      </c>
      <c r="EE100" s="409">
        <v>0</v>
      </c>
      <c r="EF100" s="409">
        <v>0</v>
      </c>
      <c r="EG100" s="409">
        <v>0</v>
      </c>
      <c r="EH100" s="409">
        <v>0</v>
      </c>
      <c r="EI100" s="409">
        <v>0</v>
      </c>
      <c r="EJ100" s="409">
        <v>0</v>
      </c>
      <c r="EK100" s="409">
        <v>0</v>
      </c>
      <c r="EL100" s="409">
        <v>0</v>
      </c>
      <c r="EM100" s="409">
        <v>0</v>
      </c>
      <c r="EN100" s="409">
        <v>0</v>
      </c>
      <c r="EO100" s="409">
        <v>0</v>
      </c>
      <c r="EP100" s="409">
        <v>0</v>
      </c>
      <c r="EQ100" s="409">
        <v>0</v>
      </c>
      <c r="ER100" s="409">
        <v>0</v>
      </c>
      <c r="ES100" s="409">
        <v>0</v>
      </c>
      <c r="ET100" s="409">
        <v>0</v>
      </c>
      <c r="EU100" s="409">
        <v>0</v>
      </c>
      <c r="EV100" s="409">
        <v>254</v>
      </c>
      <c r="EW100" s="409">
        <v>0</v>
      </c>
      <c r="EX100" s="409">
        <v>0</v>
      </c>
      <c r="EY100" s="409">
        <v>0</v>
      </c>
      <c r="EZ100" s="409"/>
      <c r="FA100" s="409">
        <v>0</v>
      </c>
      <c r="FB100" s="409"/>
      <c r="FC100" s="409"/>
      <c r="FD100" s="409"/>
      <c r="FE100" s="409"/>
      <c r="FF100" s="409">
        <v>0</v>
      </c>
      <c r="FG100" s="409">
        <v>0</v>
      </c>
      <c r="FH100" s="409">
        <v>0</v>
      </c>
      <c r="FI100" s="409">
        <v>0</v>
      </c>
    </row>
    <row r="101" spans="1:165" s="874" customFormat="1">
      <c r="A101" s="409">
        <v>99</v>
      </c>
      <c r="B101" s="409" t="s">
        <v>1035</v>
      </c>
      <c r="C101" s="409" t="s">
        <v>2252</v>
      </c>
      <c r="D101" s="409" t="s">
        <v>1994</v>
      </c>
      <c r="E101" s="409" t="s">
        <v>997</v>
      </c>
      <c r="F101" s="409" t="s">
        <v>1323</v>
      </c>
      <c r="G101" s="409" t="s">
        <v>1323</v>
      </c>
      <c r="H101" s="409" t="s">
        <v>1323</v>
      </c>
      <c r="I101" s="409" t="s">
        <v>972</v>
      </c>
      <c r="J101" s="409" t="s">
        <v>2245</v>
      </c>
      <c r="K101" s="835">
        <v>44409</v>
      </c>
      <c r="L101" s="409">
        <v>0</v>
      </c>
      <c r="M101" s="409">
        <v>0</v>
      </c>
      <c r="N101" s="409">
        <v>1.4999999999999999E-2</v>
      </c>
      <c r="O101" s="409">
        <v>1.4999999999999999E-2</v>
      </c>
      <c r="P101" s="409">
        <v>1.4999999999999999E-2</v>
      </c>
      <c r="Q101" s="409">
        <v>1.4999999999999999E-2</v>
      </c>
      <c r="R101" s="409"/>
      <c r="S101" s="409">
        <v>1783.27</v>
      </c>
      <c r="T101" s="409">
        <v>243.39</v>
      </c>
      <c r="U101" s="409"/>
      <c r="V101" s="409">
        <v>30.399899999999999</v>
      </c>
      <c r="W101" s="409">
        <v>30.399899999999999</v>
      </c>
      <c r="X101" s="409">
        <v>26.214300000000001</v>
      </c>
      <c r="Y101" s="409">
        <v>0</v>
      </c>
      <c r="Z101" s="409">
        <v>0.37325216197796401</v>
      </c>
      <c r="AA101" s="409">
        <v>0</v>
      </c>
      <c r="AB101" s="409">
        <v>0</v>
      </c>
      <c r="AC101" s="409">
        <v>0</v>
      </c>
      <c r="AD101" s="409">
        <v>5.7129699840591748</v>
      </c>
      <c r="AE101" s="409">
        <v>19.989386169167997</v>
      </c>
      <c r="AF101" s="409">
        <v>3.6508086720188699</v>
      </c>
      <c r="AG101" s="409">
        <v>0</v>
      </c>
      <c r="AH101" s="409">
        <v>0</v>
      </c>
      <c r="AI101" s="409">
        <v>0</v>
      </c>
      <c r="AJ101" s="409">
        <v>0</v>
      </c>
      <c r="AK101" s="409">
        <v>0</v>
      </c>
      <c r="AL101" s="409">
        <v>0.15238636238119499</v>
      </c>
      <c r="AM101" s="409"/>
      <c r="AN101" s="409">
        <v>2.5753071302357999E-2</v>
      </c>
      <c r="AO101" s="409">
        <v>0</v>
      </c>
      <c r="AP101" s="409">
        <v>0</v>
      </c>
      <c r="AQ101" s="409">
        <v>0</v>
      </c>
      <c r="AR101" s="409">
        <v>0</v>
      </c>
      <c r="AS101" s="409">
        <v>0</v>
      </c>
      <c r="AT101" s="409">
        <v>0</v>
      </c>
      <c r="AU101" s="409">
        <v>0</v>
      </c>
      <c r="AV101" s="409">
        <v>0</v>
      </c>
      <c r="AW101" s="409">
        <v>0</v>
      </c>
      <c r="AX101" s="409">
        <v>0</v>
      </c>
      <c r="AY101" s="409">
        <v>0</v>
      </c>
      <c r="AZ101" s="409">
        <v>0</v>
      </c>
      <c r="BA101" s="409"/>
      <c r="BB101" s="409">
        <v>0</v>
      </c>
      <c r="BC101" s="409">
        <v>0</v>
      </c>
      <c r="BD101" s="409">
        <v>0</v>
      </c>
      <c r="BE101" s="409">
        <v>0</v>
      </c>
      <c r="BF101" s="409">
        <v>0</v>
      </c>
      <c r="BG101" s="409">
        <v>0.49528994007223798</v>
      </c>
      <c r="BH101" s="409">
        <v>0</v>
      </c>
      <c r="BI101" s="409">
        <v>0</v>
      </c>
      <c r="BJ101" s="409">
        <v>0</v>
      </c>
      <c r="BK101" s="409">
        <v>0</v>
      </c>
      <c r="BL101" s="409">
        <v>0</v>
      </c>
      <c r="BM101" s="409"/>
      <c r="BN101" s="409"/>
      <c r="BO101" s="409"/>
      <c r="BP101" s="409"/>
      <c r="BQ101" s="409"/>
      <c r="BR101" s="409"/>
      <c r="BS101" s="409"/>
      <c r="BT101" s="409"/>
      <c r="BU101" s="409"/>
      <c r="BV101" s="409">
        <v>4.1460986120911079</v>
      </c>
      <c r="BW101" s="409"/>
      <c r="BX101" s="409"/>
      <c r="BY101" s="409"/>
      <c r="BZ101" s="409"/>
      <c r="CA101" s="409"/>
      <c r="CB101" s="409"/>
      <c r="CC101" s="409"/>
      <c r="CD101" s="409"/>
      <c r="CE101" s="409"/>
      <c r="CF101" s="409"/>
      <c r="CG101" s="409"/>
      <c r="CH101" s="409"/>
      <c r="CI101" s="409">
        <v>34.952400000000004</v>
      </c>
      <c r="CJ101" s="409">
        <v>4.5225000000000009</v>
      </c>
      <c r="CK101" s="409"/>
      <c r="CL101" s="409"/>
      <c r="CM101" s="409"/>
      <c r="CN101" s="409"/>
      <c r="CO101" s="409">
        <v>-4.3125</v>
      </c>
      <c r="CP101" s="409">
        <v>0.12690000000000012</v>
      </c>
      <c r="CQ101" s="409">
        <v>31</v>
      </c>
      <c r="CR101" s="409">
        <v>0.39650831895513861</v>
      </c>
      <c r="CS101" s="409">
        <v>0</v>
      </c>
      <c r="CT101" s="409">
        <v>0</v>
      </c>
      <c r="CU101" s="409">
        <v>0</v>
      </c>
      <c r="CV101" s="409">
        <v>0</v>
      </c>
      <c r="CW101" s="409">
        <v>0</v>
      </c>
      <c r="CX101" s="409">
        <v>0</v>
      </c>
      <c r="CY101" s="409">
        <v>0</v>
      </c>
      <c r="CZ101" s="409">
        <v>0.21418277667866992</v>
      </c>
      <c r="DA101" s="409">
        <v>0</v>
      </c>
      <c r="DB101" s="409">
        <v>0</v>
      </c>
      <c r="DC101" s="409">
        <v>0.16724320483682975</v>
      </c>
      <c r="DD101" s="409">
        <v>0</v>
      </c>
      <c r="DE101" s="409">
        <v>0</v>
      </c>
      <c r="DF101" s="409">
        <v>0</v>
      </c>
      <c r="DG101" s="409">
        <v>2.2689185970217574E-2</v>
      </c>
      <c r="DH101" s="409">
        <v>0</v>
      </c>
      <c r="DI101" s="409">
        <v>-2.7220834965104856E-3</v>
      </c>
      <c r="DJ101" s="409"/>
      <c r="DK101" s="409">
        <v>0</v>
      </c>
      <c r="DL101" s="409">
        <v>0</v>
      </c>
      <c r="DM101" s="409">
        <v>0</v>
      </c>
      <c r="DN101" s="409">
        <v>0</v>
      </c>
      <c r="DO101" s="409">
        <v>-8.5472782513801304E-4</v>
      </c>
      <c r="DP101" s="409">
        <v>-1.5169420647994508E-3</v>
      </c>
      <c r="DQ101" s="409">
        <v>0</v>
      </c>
      <c r="DR101" s="409">
        <v>-2.5130951441333996E-3</v>
      </c>
      <c r="DS101" s="409"/>
      <c r="DT101" s="409"/>
      <c r="DU101" s="409"/>
      <c r="DV101" s="409">
        <v>19.989386169167997</v>
      </c>
      <c r="DW101" s="409">
        <v>0</v>
      </c>
      <c r="DX101" s="409">
        <v>0</v>
      </c>
      <c r="DY101" s="409">
        <v>-4.3125</v>
      </c>
      <c r="DZ101" s="409">
        <v>0.12690000000000001</v>
      </c>
      <c r="EA101" s="409">
        <v>0</v>
      </c>
      <c r="EB101" s="409">
        <v>0</v>
      </c>
      <c r="EC101" s="409">
        <v>-4.5820373492026487</v>
      </c>
      <c r="ED101" s="409">
        <v>0</v>
      </c>
      <c r="EE101" s="409">
        <v>0</v>
      </c>
      <c r="EF101" s="409">
        <v>0</v>
      </c>
      <c r="EG101" s="409">
        <v>0</v>
      </c>
      <c r="EH101" s="409">
        <v>0</v>
      </c>
      <c r="EI101" s="409">
        <v>0</v>
      </c>
      <c r="EJ101" s="409">
        <v>0</v>
      </c>
      <c r="EK101" s="409">
        <v>0</v>
      </c>
      <c r="EL101" s="409">
        <v>0</v>
      </c>
      <c r="EM101" s="409">
        <v>0</v>
      </c>
      <c r="EN101" s="409">
        <v>0</v>
      </c>
      <c r="EO101" s="409">
        <v>0</v>
      </c>
      <c r="EP101" s="409">
        <v>0</v>
      </c>
      <c r="EQ101" s="409">
        <v>0</v>
      </c>
      <c r="ER101" s="409">
        <v>0</v>
      </c>
      <c r="ES101" s="409">
        <v>0</v>
      </c>
      <c r="ET101" s="409">
        <v>0</v>
      </c>
      <c r="EU101" s="409">
        <v>0</v>
      </c>
      <c r="EV101" s="409">
        <v>254</v>
      </c>
      <c r="EW101" s="409">
        <v>0</v>
      </c>
      <c r="EX101" s="409">
        <v>0</v>
      </c>
      <c r="EY101" s="409">
        <v>0</v>
      </c>
      <c r="EZ101" s="409"/>
      <c r="FA101" s="409">
        <v>0</v>
      </c>
      <c r="FB101" s="409"/>
      <c r="FC101" s="409"/>
      <c r="FD101" s="409"/>
      <c r="FE101" s="409"/>
      <c r="FF101" s="409">
        <v>0</v>
      </c>
      <c r="FG101" s="409">
        <v>0</v>
      </c>
      <c r="FH101" s="409">
        <v>0</v>
      </c>
      <c r="FI101" s="409">
        <v>0</v>
      </c>
    </row>
    <row r="102" spans="1:165" s="874" customFormat="1">
      <c r="A102" s="409">
        <v>100</v>
      </c>
      <c r="B102" s="409" t="s">
        <v>1035</v>
      </c>
      <c r="C102" s="409" t="s">
        <v>2252</v>
      </c>
      <c r="D102" s="409" t="s">
        <v>1994</v>
      </c>
      <c r="E102" s="409" t="s">
        <v>997</v>
      </c>
      <c r="F102" s="409" t="s">
        <v>1323</v>
      </c>
      <c r="G102" s="409" t="s">
        <v>1323</v>
      </c>
      <c r="H102" s="409" t="s">
        <v>1323</v>
      </c>
      <c r="I102" s="409" t="s">
        <v>2237</v>
      </c>
      <c r="J102" s="409" t="s">
        <v>2245</v>
      </c>
      <c r="K102" s="835">
        <v>44409</v>
      </c>
      <c r="L102" s="409">
        <v>0</v>
      </c>
      <c r="M102" s="409">
        <v>0</v>
      </c>
      <c r="N102" s="409">
        <v>0.47299999999999998</v>
      </c>
      <c r="O102" s="409">
        <v>0.47299999999999998</v>
      </c>
      <c r="P102" s="409">
        <v>0.47299999999999998</v>
      </c>
      <c r="Q102" s="409">
        <v>0.47299999999999998</v>
      </c>
      <c r="R102" s="409"/>
      <c r="S102" s="409">
        <v>412.48</v>
      </c>
      <c r="T102" s="409">
        <v>243.39</v>
      </c>
      <c r="U102" s="409"/>
      <c r="V102" s="409">
        <v>310.22650999999996</v>
      </c>
      <c r="W102" s="409">
        <v>310.22650999999996</v>
      </c>
      <c r="X102" s="409">
        <v>287.51305000000002</v>
      </c>
      <c r="Y102" s="409">
        <v>0</v>
      </c>
      <c r="Z102" s="409">
        <v>11.769884841038465</v>
      </c>
      <c r="AA102" s="409">
        <v>0</v>
      </c>
      <c r="AB102" s="409">
        <v>0</v>
      </c>
      <c r="AC102" s="409">
        <v>0</v>
      </c>
      <c r="AD102" s="409">
        <v>36.030366228363782</v>
      </c>
      <c r="AE102" s="409">
        <v>126.06644865957327</v>
      </c>
      <c r="AF102" s="409">
        <v>115.12216679099502</v>
      </c>
      <c r="AG102" s="409">
        <v>0</v>
      </c>
      <c r="AH102" s="409">
        <v>0</v>
      </c>
      <c r="AI102" s="409">
        <v>0</v>
      </c>
      <c r="AJ102" s="409">
        <v>0</v>
      </c>
      <c r="AK102" s="409">
        <v>0</v>
      </c>
      <c r="AL102" s="409">
        <v>4.8052499604203485</v>
      </c>
      <c r="AM102" s="409"/>
      <c r="AN102" s="409">
        <v>0.81208018173435559</v>
      </c>
      <c r="AO102" s="409">
        <v>0</v>
      </c>
      <c r="AP102" s="409">
        <v>0</v>
      </c>
      <c r="AQ102" s="409">
        <v>0</v>
      </c>
      <c r="AR102" s="409">
        <v>0</v>
      </c>
      <c r="AS102" s="409">
        <v>0</v>
      </c>
      <c r="AT102" s="409">
        <v>0</v>
      </c>
      <c r="AU102" s="409">
        <v>0</v>
      </c>
      <c r="AV102" s="409">
        <v>0</v>
      </c>
      <c r="AW102" s="409">
        <v>0</v>
      </c>
      <c r="AX102" s="409">
        <v>0</v>
      </c>
      <c r="AY102" s="409">
        <v>0</v>
      </c>
      <c r="AZ102" s="409">
        <v>0</v>
      </c>
      <c r="BA102" s="409"/>
      <c r="BB102" s="409">
        <v>0</v>
      </c>
      <c r="BC102" s="409">
        <v>0</v>
      </c>
      <c r="BD102" s="409">
        <v>0</v>
      </c>
      <c r="BE102" s="409">
        <v>0</v>
      </c>
      <c r="BF102" s="409">
        <v>0</v>
      </c>
      <c r="BG102" s="409">
        <v>15.61814277694457</v>
      </c>
      <c r="BH102" s="409">
        <v>0</v>
      </c>
      <c r="BI102" s="409">
        <v>0</v>
      </c>
      <c r="BJ102" s="409">
        <v>0</v>
      </c>
      <c r="BK102" s="409">
        <v>0</v>
      </c>
      <c r="BL102" s="409">
        <v>0</v>
      </c>
      <c r="BM102" s="409"/>
      <c r="BN102" s="409"/>
      <c r="BO102" s="409"/>
      <c r="BP102" s="409"/>
      <c r="BQ102" s="409"/>
      <c r="BR102" s="409"/>
      <c r="BS102" s="409"/>
      <c r="BT102" s="409"/>
      <c r="BU102" s="409"/>
      <c r="BV102" s="409">
        <v>130.74030956793959</v>
      </c>
      <c r="BW102" s="409"/>
      <c r="BX102" s="409"/>
      <c r="BY102" s="409"/>
      <c r="BZ102" s="409"/>
      <c r="CA102" s="409"/>
      <c r="CB102" s="409"/>
      <c r="CC102" s="409"/>
      <c r="CD102" s="409"/>
      <c r="CE102" s="409"/>
      <c r="CF102" s="409"/>
      <c r="CG102" s="409"/>
      <c r="CH102" s="409"/>
      <c r="CI102" s="409">
        <v>285.68949999999995</v>
      </c>
      <c r="CJ102" s="409">
        <v>-24.567009999999982</v>
      </c>
      <c r="CK102" s="409"/>
      <c r="CL102" s="409"/>
      <c r="CM102" s="409"/>
      <c r="CN102" s="409"/>
      <c r="CO102" s="409">
        <v>-26.715040000000009</v>
      </c>
      <c r="CP102" s="409">
        <v>4.0015800000000032</v>
      </c>
      <c r="CQ102" s="409">
        <v>31</v>
      </c>
      <c r="CR102" s="409">
        <v>6.1847780536343748</v>
      </c>
      <c r="CS102" s="409">
        <v>0</v>
      </c>
      <c r="CT102" s="409">
        <v>0</v>
      </c>
      <c r="CU102" s="409">
        <v>0</v>
      </c>
      <c r="CV102" s="409">
        <v>0</v>
      </c>
      <c r="CW102" s="409">
        <v>0</v>
      </c>
      <c r="CX102" s="409">
        <v>0</v>
      </c>
      <c r="CY102" s="409">
        <v>0</v>
      </c>
      <c r="CZ102" s="409">
        <v>1.3508007052502435</v>
      </c>
      <c r="DA102" s="409">
        <v>0</v>
      </c>
      <c r="DB102" s="409">
        <v>0</v>
      </c>
      <c r="DC102" s="409">
        <v>5.2737357258547064</v>
      </c>
      <c r="DD102" s="409">
        <v>0</v>
      </c>
      <c r="DE102" s="409">
        <v>0</v>
      </c>
      <c r="DF102" s="409">
        <v>0</v>
      </c>
      <c r="DG102" s="409">
        <v>0.71546566426086144</v>
      </c>
      <c r="DH102" s="409">
        <v>0</v>
      </c>
      <c r="DI102" s="409">
        <v>-8.5836366256630825E-2</v>
      </c>
      <c r="DJ102" s="409"/>
      <c r="DK102" s="409">
        <v>0</v>
      </c>
      <c r="DL102" s="409">
        <v>0</v>
      </c>
      <c r="DM102" s="409">
        <v>0</v>
      </c>
      <c r="DN102" s="409">
        <v>0</v>
      </c>
      <c r="DO102" s="409">
        <v>-2.6952417419351171E-2</v>
      </c>
      <c r="DP102" s="409">
        <v>-4.7834239776676002E-2</v>
      </c>
      <c r="DQ102" s="409">
        <v>0</v>
      </c>
      <c r="DR102" s="409">
        <v>-0.99460101827874414</v>
      </c>
      <c r="DS102" s="409"/>
      <c r="DT102" s="409"/>
      <c r="DU102" s="409"/>
      <c r="DV102" s="409">
        <v>126.06644865957327</v>
      </c>
      <c r="DW102" s="409">
        <v>0</v>
      </c>
      <c r="DX102" s="409">
        <v>0</v>
      </c>
      <c r="DY102" s="409">
        <v>-26.715039999999988</v>
      </c>
      <c r="DZ102" s="409">
        <v>4.0015800000000041</v>
      </c>
      <c r="EA102" s="409">
        <v>0</v>
      </c>
      <c r="EB102" s="409">
        <v>0</v>
      </c>
      <c r="EC102" s="409">
        <v>-28.897394414764946</v>
      </c>
      <c r="ED102" s="409">
        <v>0</v>
      </c>
      <c r="EE102" s="409">
        <v>0</v>
      </c>
      <c r="EF102" s="409">
        <v>0</v>
      </c>
      <c r="EG102" s="409">
        <v>0</v>
      </c>
      <c r="EH102" s="409">
        <v>0</v>
      </c>
      <c r="EI102" s="409">
        <v>0</v>
      </c>
      <c r="EJ102" s="409">
        <v>0</v>
      </c>
      <c r="EK102" s="409">
        <v>0</v>
      </c>
      <c r="EL102" s="409">
        <v>0</v>
      </c>
      <c r="EM102" s="409">
        <v>0</v>
      </c>
      <c r="EN102" s="409">
        <v>0</v>
      </c>
      <c r="EO102" s="409">
        <v>0</v>
      </c>
      <c r="EP102" s="409">
        <v>0</v>
      </c>
      <c r="EQ102" s="409">
        <v>0</v>
      </c>
      <c r="ER102" s="409">
        <v>0</v>
      </c>
      <c r="ES102" s="409">
        <v>0</v>
      </c>
      <c r="ET102" s="409">
        <v>0</v>
      </c>
      <c r="EU102" s="409">
        <v>0</v>
      </c>
      <c r="EV102" s="409">
        <v>254</v>
      </c>
      <c r="EW102" s="409">
        <v>0</v>
      </c>
      <c r="EX102" s="409">
        <v>0</v>
      </c>
      <c r="EY102" s="409">
        <v>0</v>
      </c>
      <c r="EZ102" s="409"/>
      <c r="FA102" s="409">
        <v>0</v>
      </c>
      <c r="FB102" s="409"/>
      <c r="FC102" s="409"/>
      <c r="FD102" s="409"/>
      <c r="FE102" s="409"/>
      <c r="FF102" s="409">
        <v>0</v>
      </c>
      <c r="FG102" s="409">
        <v>0</v>
      </c>
      <c r="FH102" s="409">
        <v>0</v>
      </c>
      <c r="FI102" s="409">
        <v>0</v>
      </c>
    </row>
    <row r="103" spans="1:165" s="874" customFormat="1">
      <c r="A103" s="409">
        <v>101</v>
      </c>
      <c r="B103" s="409" t="s">
        <v>1035</v>
      </c>
      <c r="C103" s="409" t="s">
        <v>2252</v>
      </c>
      <c r="D103" s="409" t="s">
        <v>1994</v>
      </c>
      <c r="E103" s="409" t="s">
        <v>997</v>
      </c>
      <c r="F103" s="409" t="s">
        <v>1323</v>
      </c>
      <c r="G103" s="409" t="s">
        <v>1323</v>
      </c>
      <c r="H103" s="409" t="s">
        <v>1323</v>
      </c>
      <c r="I103" s="409" t="s">
        <v>1323</v>
      </c>
      <c r="J103" s="409" t="s">
        <v>2245</v>
      </c>
      <c r="K103" s="835">
        <v>44409</v>
      </c>
      <c r="L103" s="409">
        <v>0</v>
      </c>
      <c r="M103" s="409">
        <v>0</v>
      </c>
      <c r="N103" s="409">
        <v>0</v>
      </c>
      <c r="O103" s="409">
        <v>0</v>
      </c>
      <c r="P103" s="409">
        <v>0</v>
      </c>
      <c r="Q103" s="409">
        <v>0</v>
      </c>
      <c r="R103" s="409"/>
      <c r="S103" s="409"/>
      <c r="T103" s="409"/>
      <c r="U103" s="409"/>
      <c r="V103" s="409"/>
      <c r="W103" s="409"/>
      <c r="X103" s="409"/>
      <c r="Y103" s="409"/>
      <c r="Z103" s="409"/>
      <c r="AA103" s="409">
        <v>0</v>
      </c>
      <c r="AB103" s="409"/>
      <c r="AC103" s="409"/>
      <c r="AD103" s="409"/>
      <c r="AE103" s="409"/>
      <c r="AF103" s="409"/>
      <c r="AG103" s="409"/>
      <c r="AH103" s="409"/>
      <c r="AI103" s="409"/>
      <c r="AJ103" s="409"/>
      <c r="AK103" s="409"/>
      <c r="AL103" s="409"/>
      <c r="AM103" s="409"/>
      <c r="AN103" s="409"/>
      <c r="AO103" s="409"/>
      <c r="AP103" s="409"/>
      <c r="AQ103" s="409"/>
      <c r="AR103" s="409"/>
      <c r="AS103" s="409"/>
      <c r="AT103" s="409"/>
      <c r="AU103" s="409"/>
      <c r="AV103" s="409"/>
      <c r="AW103" s="409"/>
      <c r="AX103" s="409"/>
      <c r="AY103" s="409"/>
      <c r="AZ103" s="409">
        <v>0</v>
      </c>
      <c r="BA103" s="409"/>
      <c r="BB103" s="409"/>
      <c r="BC103" s="409"/>
      <c r="BD103" s="409"/>
      <c r="BE103" s="409"/>
      <c r="BF103" s="409"/>
      <c r="BG103" s="409"/>
      <c r="BH103" s="409"/>
      <c r="BI103" s="409">
        <v>0</v>
      </c>
      <c r="BJ103" s="409">
        <v>0</v>
      </c>
      <c r="BK103" s="409">
        <v>0</v>
      </c>
      <c r="BL103" s="409">
        <v>1</v>
      </c>
      <c r="BM103" s="409"/>
      <c r="BN103" s="409"/>
      <c r="BO103" s="409"/>
      <c r="BP103" s="409"/>
      <c r="BQ103" s="409"/>
      <c r="BR103" s="409"/>
      <c r="BS103" s="409"/>
      <c r="BT103" s="409"/>
      <c r="BU103" s="409"/>
      <c r="BV103" s="409"/>
      <c r="BW103" s="409"/>
      <c r="BX103" s="409"/>
      <c r="BY103" s="409"/>
      <c r="BZ103" s="409"/>
      <c r="CA103" s="409"/>
      <c r="CB103" s="409"/>
      <c r="CC103" s="409"/>
      <c r="CD103" s="409"/>
      <c r="CE103" s="409"/>
      <c r="CF103" s="409"/>
      <c r="CG103" s="409"/>
      <c r="CH103" s="409"/>
      <c r="CI103" s="409"/>
      <c r="CJ103" s="409">
        <v>-0.03</v>
      </c>
      <c r="CK103" s="409"/>
      <c r="CL103" s="409"/>
      <c r="CM103" s="409"/>
      <c r="CN103" s="409"/>
      <c r="CO103" s="409">
        <v>0</v>
      </c>
      <c r="CP103" s="409">
        <v>0</v>
      </c>
      <c r="CQ103" s="409">
        <v>31</v>
      </c>
      <c r="CR103" s="409"/>
      <c r="CS103" s="409"/>
      <c r="CT103" s="409"/>
      <c r="CU103" s="409"/>
      <c r="CV103" s="409"/>
      <c r="CW103" s="409"/>
      <c r="CX103" s="409"/>
      <c r="CY103" s="409"/>
      <c r="CZ103" s="409"/>
      <c r="DA103" s="409"/>
      <c r="DB103" s="409"/>
      <c r="DC103" s="409"/>
      <c r="DD103" s="409"/>
      <c r="DE103" s="409"/>
      <c r="DF103" s="409"/>
      <c r="DG103" s="409"/>
      <c r="DH103" s="409"/>
      <c r="DI103" s="409"/>
      <c r="DJ103" s="409"/>
      <c r="DK103" s="409">
        <v>0</v>
      </c>
      <c r="DL103" s="409"/>
      <c r="DM103" s="409"/>
      <c r="DN103" s="409"/>
      <c r="DO103" s="409"/>
      <c r="DP103" s="409"/>
      <c r="DQ103" s="409"/>
      <c r="DR103" s="409"/>
      <c r="DS103" s="409"/>
      <c r="DT103" s="409"/>
      <c r="DU103" s="409"/>
      <c r="DV103" s="409"/>
      <c r="DW103" s="409"/>
      <c r="DX103" s="409"/>
      <c r="DY103" s="409"/>
      <c r="DZ103" s="409"/>
      <c r="EA103" s="409"/>
      <c r="EB103" s="409"/>
      <c r="EC103" s="409"/>
      <c r="ED103" s="409"/>
      <c r="EE103" s="409"/>
      <c r="EF103" s="409"/>
      <c r="EG103" s="409"/>
      <c r="EH103" s="409"/>
      <c r="EI103" s="409"/>
      <c r="EJ103" s="409"/>
      <c r="EK103" s="409"/>
      <c r="EL103" s="409"/>
      <c r="EM103" s="409"/>
      <c r="EN103" s="409"/>
      <c r="EO103" s="409"/>
      <c r="EP103" s="409"/>
      <c r="EQ103" s="409"/>
      <c r="ER103" s="409"/>
      <c r="ES103" s="409"/>
      <c r="ET103" s="409"/>
      <c r="EU103" s="409"/>
      <c r="EV103" s="409">
        <v>254</v>
      </c>
      <c r="EW103" s="409"/>
      <c r="EX103" s="409"/>
      <c r="EY103" s="409"/>
      <c r="EZ103" s="409"/>
      <c r="FA103" s="409">
        <v>0</v>
      </c>
      <c r="FB103" s="409"/>
      <c r="FC103" s="409"/>
      <c r="FD103" s="409"/>
      <c r="FE103" s="409"/>
      <c r="FF103" s="409">
        <v>0</v>
      </c>
      <c r="FG103" s="409">
        <v>0</v>
      </c>
      <c r="FH103" s="409">
        <v>0</v>
      </c>
      <c r="FI103" s="409">
        <v>0</v>
      </c>
    </row>
    <row r="104" spans="1:165" s="874" customFormat="1">
      <c r="A104" s="409">
        <v>102</v>
      </c>
      <c r="B104" s="409" t="s">
        <v>1035</v>
      </c>
      <c r="C104" s="409" t="s">
        <v>2252</v>
      </c>
      <c r="D104" s="409" t="s">
        <v>1994</v>
      </c>
      <c r="E104" s="409" t="s">
        <v>997</v>
      </c>
      <c r="F104" s="409" t="s">
        <v>1323</v>
      </c>
      <c r="G104" s="409" t="s">
        <v>1323</v>
      </c>
      <c r="H104" s="409" t="s">
        <v>1323</v>
      </c>
      <c r="I104" s="409" t="s">
        <v>2253</v>
      </c>
      <c r="J104" s="409" t="s">
        <v>2245</v>
      </c>
      <c r="K104" s="835">
        <v>44409</v>
      </c>
      <c r="L104" s="409">
        <v>0</v>
      </c>
      <c r="M104" s="409">
        <v>0</v>
      </c>
      <c r="N104" s="409">
        <v>1.2999999999999999E-2</v>
      </c>
      <c r="O104" s="409">
        <v>1.2999999999999999E-2</v>
      </c>
      <c r="P104" s="409">
        <v>1.2999999999999999E-2</v>
      </c>
      <c r="Q104" s="409">
        <v>1.2999999999999999E-2</v>
      </c>
      <c r="R104" s="409"/>
      <c r="S104" s="409">
        <v>1097.8699999999999</v>
      </c>
      <c r="T104" s="409">
        <v>243.39</v>
      </c>
      <c r="U104" s="409"/>
      <c r="V104" s="409">
        <v>17.436379999999996</v>
      </c>
      <c r="W104" s="409">
        <v>17.436379999999996</v>
      </c>
      <c r="X104" s="409">
        <v>15.310489999999998</v>
      </c>
      <c r="Y104" s="409">
        <v>0</v>
      </c>
      <c r="Z104" s="409">
        <v>0.32348520704756878</v>
      </c>
      <c r="AA104" s="409">
        <v>0</v>
      </c>
      <c r="AB104" s="409">
        <v>0</v>
      </c>
      <c r="AC104" s="409">
        <v>0</v>
      </c>
      <c r="AD104" s="409">
        <v>2.9707672424134768</v>
      </c>
      <c r="AE104" s="409">
        <v>10.394479101497607</v>
      </c>
      <c r="AF104" s="409">
        <v>3.1640341824163536</v>
      </c>
      <c r="AG104" s="409">
        <v>0</v>
      </c>
      <c r="AH104" s="409">
        <v>0</v>
      </c>
      <c r="AI104" s="409">
        <v>0</v>
      </c>
      <c r="AJ104" s="409">
        <v>0</v>
      </c>
      <c r="AK104" s="409">
        <v>0</v>
      </c>
      <c r="AL104" s="409">
        <v>0.13206818073036899</v>
      </c>
      <c r="AM104" s="409"/>
      <c r="AN104" s="409">
        <v>2.2319328462043597E-2</v>
      </c>
      <c r="AO104" s="409">
        <v>0</v>
      </c>
      <c r="AP104" s="409">
        <v>0</v>
      </c>
      <c r="AQ104" s="409">
        <v>0</v>
      </c>
      <c r="AR104" s="409">
        <v>0</v>
      </c>
      <c r="AS104" s="409">
        <v>0</v>
      </c>
      <c r="AT104" s="409">
        <v>0</v>
      </c>
      <c r="AU104" s="409">
        <v>0</v>
      </c>
      <c r="AV104" s="409">
        <v>0</v>
      </c>
      <c r="AW104" s="409">
        <v>0</v>
      </c>
      <c r="AX104" s="409">
        <v>0</v>
      </c>
      <c r="AY104" s="409">
        <v>0</v>
      </c>
      <c r="AZ104" s="409">
        <v>0</v>
      </c>
      <c r="BA104" s="409"/>
      <c r="BB104" s="409">
        <v>0</v>
      </c>
      <c r="BC104" s="409">
        <v>0</v>
      </c>
      <c r="BD104" s="409">
        <v>0</v>
      </c>
      <c r="BE104" s="409">
        <v>0</v>
      </c>
      <c r="BF104" s="409">
        <v>0</v>
      </c>
      <c r="BG104" s="409">
        <v>0.42925128139593954</v>
      </c>
      <c r="BH104" s="409">
        <v>0</v>
      </c>
      <c r="BI104" s="409">
        <v>0</v>
      </c>
      <c r="BJ104" s="409">
        <v>0</v>
      </c>
      <c r="BK104" s="409">
        <v>0</v>
      </c>
      <c r="BL104" s="409">
        <v>0</v>
      </c>
      <c r="BM104" s="409"/>
      <c r="BN104" s="409"/>
      <c r="BO104" s="409"/>
      <c r="BP104" s="409"/>
      <c r="BQ104" s="409"/>
      <c r="BR104" s="409"/>
      <c r="BS104" s="409"/>
      <c r="BT104" s="409"/>
      <c r="BU104" s="409"/>
      <c r="BV104" s="409">
        <v>3.5932854638122933</v>
      </c>
      <c r="BW104" s="409"/>
      <c r="BX104" s="409"/>
      <c r="BY104" s="409"/>
      <c r="BZ104" s="409"/>
      <c r="CA104" s="409"/>
      <c r="CB104" s="409"/>
      <c r="CC104" s="409"/>
      <c r="CD104" s="409"/>
      <c r="CE104" s="409"/>
      <c r="CF104" s="409"/>
      <c r="CG104" s="409"/>
      <c r="CH104" s="409"/>
      <c r="CI104" s="409">
        <v>11.7773</v>
      </c>
      <c r="CJ104" s="409">
        <v>-5.689079999999997</v>
      </c>
      <c r="CK104" s="409"/>
      <c r="CL104" s="409"/>
      <c r="CM104" s="409"/>
      <c r="CN104" s="409"/>
      <c r="CO104" s="409">
        <v>-2.2358699999999985</v>
      </c>
      <c r="CP104" s="409">
        <v>0.10998000000000009</v>
      </c>
      <c r="CQ104" s="409">
        <v>31</v>
      </c>
      <c r="CR104" s="409">
        <v>0.25681251752363554</v>
      </c>
      <c r="CS104" s="409">
        <v>0</v>
      </c>
      <c r="CT104" s="409">
        <v>0</v>
      </c>
      <c r="CU104" s="409">
        <v>0</v>
      </c>
      <c r="CV104" s="409">
        <v>0</v>
      </c>
      <c r="CW104" s="409">
        <v>0</v>
      </c>
      <c r="CX104" s="409">
        <v>0</v>
      </c>
      <c r="CY104" s="409">
        <v>0</v>
      </c>
      <c r="CZ104" s="409">
        <v>0.11137590055988511</v>
      </c>
      <c r="DA104" s="409">
        <v>0</v>
      </c>
      <c r="DB104" s="409">
        <v>0</v>
      </c>
      <c r="DC104" s="409">
        <v>0.14494411085858605</v>
      </c>
      <c r="DD104" s="409">
        <v>0</v>
      </c>
      <c r="DE104" s="409">
        <v>0</v>
      </c>
      <c r="DF104" s="409">
        <v>0</v>
      </c>
      <c r="DG104" s="409">
        <v>1.966396117418856E-2</v>
      </c>
      <c r="DH104" s="409">
        <v>0</v>
      </c>
      <c r="DI104" s="409">
        <v>-2.3591390303090987E-3</v>
      </c>
      <c r="DJ104" s="409"/>
      <c r="DK104" s="409">
        <v>0</v>
      </c>
      <c r="DL104" s="409">
        <v>0</v>
      </c>
      <c r="DM104" s="409">
        <v>0</v>
      </c>
      <c r="DN104" s="409">
        <v>0</v>
      </c>
      <c r="DO104" s="409">
        <v>-7.4076411511961315E-4</v>
      </c>
      <c r="DP104" s="409">
        <v>-1.3146831228261872E-3</v>
      </c>
      <c r="DQ104" s="409">
        <v>0</v>
      </c>
      <c r="DR104" s="409">
        <v>-1.4756868800769551E-2</v>
      </c>
      <c r="DS104" s="409"/>
      <c r="DT104" s="409"/>
      <c r="DU104" s="409"/>
      <c r="DV104" s="409">
        <v>10.394479101497607</v>
      </c>
      <c r="DW104" s="409">
        <v>0</v>
      </c>
      <c r="DX104" s="409">
        <v>0</v>
      </c>
      <c r="DY104" s="409">
        <v>-2.2358699999999985</v>
      </c>
      <c r="DZ104" s="409">
        <v>0.10998000000000019</v>
      </c>
      <c r="EA104" s="409">
        <v>0</v>
      </c>
      <c r="EB104" s="409">
        <v>0</v>
      </c>
      <c r="EC104" s="409">
        <v>-2.3826590304223707</v>
      </c>
      <c r="ED104" s="409">
        <v>0</v>
      </c>
      <c r="EE104" s="409">
        <v>0</v>
      </c>
      <c r="EF104" s="409">
        <v>0</v>
      </c>
      <c r="EG104" s="409">
        <v>0</v>
      </c>
      <c r="EH104" s="409">
        <v>0</v>
      </c>
      <c r="EI104" s="409">
        <v>0</v>
      </c>
      <c r="EJ104" s="409">
        <v>0</v>
      </c>
      <c r="EK104" s="409">
        <v>0</v>
      </c>
      <c r="EL104" s="409">
        <v>0</v>
      </c>
      <c r="EM104" s="409">
        <v>0</v>
      </c>
      <c r="EN104" s="409">
        <v>0</v>
      </c>
      <c r="EO104" s="409">
        <v>0</v>
      </c>
      <c r="EP104" s="409">
        <v>0</v>
      </c>
      <c r="EQ104" s="409">
        <v>0</v>
      </c>
      <c r="ER104" s="409">
        <v>0</v>
      </c>
      <c r="ES104" s="409">
        <v>0</v>
      </c>
      <c r="ET104" s="409">
        <v>0</v>
      </c>
      <c r="EU104" s="409">
        <v>0</v>
      </c>
      <c r="EV104" s="409">
        <v>254</v>
      </c>
      <c r="EW104" s="409">
        <v>0</v>
      </c>
      <c r="EX104" s="409">
        <v>0</v>
      </c>
      <c r="EY104" s="409">
        <v>0</v>
      </c>
      <c r="EZ104" s="409"/>
      <c r="FA104" s="409">
        <v>0</v>
      </c>
      <c r="FB104" s="409"/>
      <c r="FC104" s="409"/>
      <c r="FD104" s="409"/>
      <c r="FE104" s="409"/>
      <c r="FF104" s="409">
        <v>0</v>
      </c>
      <c r="FG104" s="409">
        <v>0</v>
      </c>
      <c r="FH104" s="409">
        <v>0</v>
      </c>
      <c r="FI104" s="409">
        <v>0</v>
      </c>
    </row>
    <row r="105" spans="1:165" s="874" customFormat="1">
      <c r="A105" s="409">
        <v>103</v>
      </c>
      <c r="B105" s="409" t="s">
        <v>1035</v>
      </c>
      <c r="C105" s="409" t="s">
        <v>2244</v>
      </c>
      <c r="D105" s="409" t="s">
        <v>2254</v>
      </c>
      <c r="E105" s="409" t="s">
        <v>973</v>
      </c>
      <c r="F105" s="409" t="s">
        <v>1323</v>
      </c>
      <c r="G105" s="409" t="s">
        <v>1323</v>
      </c>
      <c r="H105" s="409" t="s">
        <v>1323</v>
      </c>
      <c r="I105" s="409" t="s">
        <v>1323</v>
      </c>
      <c r="J105" s="409" t="s">
        <v>2245</v>
      </c>
      <c r="K105" s="835">
        <v>44409</v>
      </c>
      <c r="L105" s="409">
        <v>0</v>
      </c>
      <c r="M105" s="409">
        <v>0</v>
      </c>
      <c r="N105" s="409">
        <v>181.00299999999999</v>
      </c>
      <c r="O105" s="409">
        <v>181.00299999999999</v>
      </c>
      <c r="P105" s="409">
        <v>181.00299999999999</v>
      </c>
      <c r="Q105" s="409">
        <v>181.00299999999999</v>
      </c>
      <c r="R105" s="409"/>
      <c r="S105" s="409">
        <v>597.01</v>
      </c>
      <c r="T105" s="409">
        <v>243.39</v>
      </c>
      <c r="U105" s="409"/>
      <c r="V105" s="409">
        <v>152114.92119999998</v>
      </c>
      <c r="W105" s="409">
        <v>152114.92119999998</v>
      </c>
      <c r="X105" s="409">
        <v>137793.96383999998</v>
      </c>
      <c r="Y105" s="409">
        <v>0</v>
      </c>
      <c r="Z105" s="409">
        <v>4503.984071633161</v>
      </c>
      <c r="AA105" s="409">
        <v>0</v>
      </c>
      <c r="AB105" s="409">
        <v>0</v>
      </c>
      <c r="AC105" s="409">
        <v>0</v>
      </c>
      <c r="AD105" s="409">
        <v>21211.572442569541</v>
      </c>
      <c r="AE105" s="409">
        <v>74218.20309765049</v>
      </c>
      <c r="AF105" s="409">
        <v>44053.821470762094</v>
      </c>
      <c r="AG105" s="409">
        <v>0</v>
      </c>
      <c r="AH105" s="409">
        <v>0</v>
      </c>
      <c r="AI105" s="409">
        <v>0</v>
      </c>
      <c r="AJ105" s="409">
        <v>0</v>
      </c>
      <c r="AK105" s="409">
        <v>0</v>
      </c>
      <c r="AL105" s="409">
        <v>1838.8259166722289</v>
      </c>
      <c r="AM105" s="409"/>
      <c r="AN105" s="409">
        <v>310.75887766271364</v>
      </c>
      <c r="AO105" s="409">
        <v>0</v>
      </c>
      <c r="AP105" s="409">
        <v>0</v>
      </c>
      <c r="AQ105" s="409">
        <v>0</v>
      </c>
      <c r="AR105" s="409">
        <v>0</v>
      </c>
      <c r="AS105" s="409">
        <v>0</v>
      </c>
      <c r="AT105" s="409">
        <v>0</v>
      </c>
      <c r="AU105" s="409">
        <v>0</v>
      </c>
      <c r="AV105" s="409">
        <v>0</v>
      </c>
      <c r="AW105" s="409">
        <v>0</v>
      </c>
      <c r="AX105" s="409">
        <v>0</v>
      </c>
      <c r="AY105" s="409">
        <v>0</v>
      </c>
      <c r="AZ105" s="409">
        <v>0</v>
      </c>
      <c r="BA105" s="409"/>
      <c r="BB105" s="409">
        <v>0</v>
      </c>
      <c r="BC105" s="409">
        <v>0</v>
      </c>
      <c r="BD105" s="409">
        <v>0</v>
      </c>
      <c r="BE105" s="409">
        <v>0</v>
      </c>
      <c r="BF105" s="409">
        <v>0</v>
      </c>
      <c r="BG105" s="409">
        <v>5976.5976681930188</v>
      </c>
      <c r="BH105" s="409">
        <v>0</v>
      </c>
      <c r="BI105" s="409">
        <v>99.59</v>
      </c>
      <c r="BJ105" s="409">
        <v>459.33</v>
      </c>
      <c r="BK105" s="409">
        <v>0</v>
      </c>
      <c r="BL105" s="409">
        <v>1792</v>
      </c>
      <c r="BM105" s="409"/>
      <c r="BN105" s="409"/>
      <c r="BO105" s="409"/>
      <c r="BP105" s="409"/>
      <c r="BQ105" s="409"/>
      <c r="BR105" s="409">
        <v>16536.434079999995</v>
      </c>
      <c r="BS105" s="409"/>
      <c r="BT105" s="409"/>
      <c r="BU105" s="409"/>
      <c r="BV105" s="409">
        <v>50030.419138955112</v>
      </c>
      <c r="BW105" s="409"/>
      <c r="BX105" s="409"/>
      <c r="BY105" s="409"/>
      <c r="BZ105" s="409"/>
      <c r="CA105" s="409"/>
      <c r="CB105" s="409"/>
      <c r="CC105" s="409"/>
      <c r="CD105" s="409"/>
      <c r="CE105" s="409"/>
      <c r="CF105" s="409"/>
      <c r="CG105" s="409"/>
      <c r="CH105" s="409"/>
      <c r="CI105" s="409">
        <v>121255.52</v>
      </c>
      <c r="CJ105" s="409">
        <v>-12605.278649999978</v>
      </c>
      <c r="CK105" s="409"/>
      <c r="CL105" s="409"/>
      <c r="CM105" s="409"/>
      <c r="CN105" s="409"/>
      <c r="CO105" s="409">
        <v>-15852.242739999996</v>
      </c>
      <c r="CP105" s="409">
        <v>1531.2853800000014</v>
      </c>
      <c r="CQ105" s="409">
        <v>31</v>
      </c>
      <c r="CR105" s="409">
        <v>2692.2065864333563</v>
      </c>
      <c r="CS105" s="409">
        <v>0</v>
      </c>
      <c r="CT105" s="409">
        <v>0</v>
      </c>
      <c r="CU105" s="409">
        <v>0</v>
      </c>
      <c r="CV105" s="409">
        <v>0</v>
      </c>
      <c r="CW105" s="409">
        <v>0</v>
      </c>
      <c r="CX105" s="409">
        <v>0</v>
      </c>
      <c r="CY105" s="409">
        <v>0</v>
      </c>
      <c r="CZ105" s="409">
        <v>795.23496467645236</v>
      </c>
      <c r="DA105" s="409">
        <v>0</v>
      </c>
      <c r="DB105" s="409">
        <v>0</v>
      </c>
      <c r="DC105" s="409">
        <v>2018.101453672054</v>
      </c>
      <c r="DD105" s="409">
        <v>0</v>
      </c>
      <c r="DE105" s="409">
        <v>0</v>
      </c>
      <c r="DF105" s="409">
        <v>0</v>
      </c>
      <c r="DG105" s="409">
        <v>273.78738187781892</v>
      </c>
      <c r="DH105" s="409">
        <v>0</v>
      </c>
      <c r="DI105" s="409">
        <v>-32.847018607925747</v>
      </c>
      <c r="DJ105" s="409"/>
      <c r="DK105" s="409">
        <v>0</v>
      </c>
      <c r="DL105" s="409">
        <v>0</v>
      </c>
      <c r="DM105" s="409">
        <v>0</v>
      </c>
      <c r="DN105" s="409">
        <v>0</v>
      </c>
      <c r="DO105" s="409">
        <v>-10.313886702230093</v>
      </c>
      <c r="DP105" s="409">
        <v>-18.304737636992968</v>
      </c>
      <c r="DQ105" s="409">
        <v>0</v>
      </c>
      <c r="DR105" s="409">
        <v>-333.45157084582314</v>
      </c>
      <c r="DS105" s="409"/>
      <c r="DT105" s="409"/>
      <c r="DU105" s="409"/>
      <c r="DV105" s="409">
        <v>74218.20309765049</v>
      </c>
      <c r="DW105" s="409">
        <v>0</v>
      </c>
      <c r="DX105" s="409">
        <v>0</v>
      </c>
      <c r="DY105" s="409">
        <v>-15852.242740000002</v>
      </c>
      <c r="DZ105" s="409">
        <v>1531.2853800000012</v>
      </c>
      <c r="EA105" s="409">
        <v>0</v>
      </c>
      <c r="EB105" s="409">
        <v>0</v>
      </c>
      <c r="EC105" s="409">
        <v>-17012.557349493385</v>
      </c>
      <c r="ED105" s="409">
        <v>0</v>
      </c>
      <c r="EE105" s="409">
        <v>0</v>
      </c>
      <c r="EF105" s="409">
        <v>0</v>
      </c>
      <c r="EG105" s="409">
        <v>0</v>
      </c>
      <c r="EH105" s="409">
        <v>0</v>
      </c>
      <c r="EI105" s="409">
        <v>0</v>
      </c>
      <c r="EJ105" s="409">
        <v>0</v>
      </c>
      <c r="EK105" s="409">
        <v>0</v>
      </c>
      <c r="EL105" s="409">
        <v>0</v>
      </c>
      <c r="EM105" s="409">
        <v>0</v>
      </c>
      <c r="EN105" s="409">
        <v>0</v>
      </c>
      <c r="EO105" s="409">
        <v>0</v>
      </c>
      <c r="EP105" s="409">
        <v>0</v>
      </c>
      <c r="EQ105" s="409">
        <v>0</v>
      </c>
      <c r="ER105" s="409">
        <v>0</v>
      </c>
      <c r="ES105" s="409">
        <v>0</v>
      </c>
      <c r="ET105" s="409">
        <v>0</v>
      </c>
      <c r="EU105" s="409">
        <v>0</v>
      </c>
      <c r="EV105" s="409">
        <v>254</v>
      </c>
      <c r="EW105" s="409">
        <v>0</v>
      </c>
      <c r="EX105" s="409">
        <v>0</v>
      </c>
      <c r="EY105" s="409">
        <v>0</v>
      </c>
      <c r="EZ105" s="409"/>
      <c r="FA105" s="409">
        <v>0</v>
      </c>
      <c r="FB105" s="409"/>
      <c r="FC105" s="409"/>
      <c r="FD105" s="409"/>
      <c r="FE105" s="409"/>
      <c r="FF105" s="409">
        <v>0</v>
      </c>
      <c r="FG105" s="409">
        <v>0</v>
      </c>
      <c r="FH105" s="409">
        <v>0</v>
      </c>
      <c r="FI105" s="409">
        <v>0</v>
      </c>
    </row>
    <row r="106" spans="1:165" s="874" customFormat="1">
      <c r="A106" s="409">
        <v>104</v>
      </c>
      <c r="B106" s="409" t="s">
        <v>2246</v>
      </c>
      <c r="C106" s="409" t="s">
        <v>2244</v>
      </c>
      <c r="D106" s="409" t="s">
        <v>2254</v>
      </c>
      <c r="E106" s="409" t="s">
        <v>973</v>
      </c>
      <c r="F106" s="409" t="s">
        <v>1323</v>
      </c>
      <c r="G106" s="409" t="s">
        <v>1323</v>
      </c>
      <c r="H106" s="409" t="s">
        <v>1323</v>
      </c>
      <c r="I106" s="409" t="s">
        <v>1323</v>
      </c>
      <c r="J106" s="409" t="s">
        <v>2245</v>
      </c>
      <c r="K106" s="835">
        <v>44409</v>
      </c>
      <c r="L106" s="409">
        <v>0</v>
      </c>
      <c r="M106" s="409">
        <v>0</v>
      </c>
      <c r="N106" s="409">
        <v>3.98</v>
      </c>
      <c r="O106" s="409">
        <v>3.98</v>
      </c>
      <c r="P106" s="409">
        <v>3.98</v>
      </c>
      <c r="Q106" s="409">
        <v>3.98</v>
      </c>
      <c r="R106" s="409"/>
      <c r="S106" s="409">
        <v>597.01</v>
      </c>
      <c r="T106" s="409">
        <v>243.39</v>
      </c>
      <c r="U106" s="409"/>
      <c r="V106" s="409">
        <v>3344.7919999999999</v>
      </c>
      <c r="W106" s="409">
        <v>3344.7919999999999</v>
      </c>
      <c r="X106" s="409">
        <v>3029.8944000000001</v>
      </c>
      <c r="Y106" s="409">
        <v>0</v>
      </c>
      <c r="Z106" s="409">
        <v>99.036240311486452</v>
      </c>
      <c r="AA106" s="409">
        <v>0</v>
      </c>
      <c r="AB106" s="409">
        <v>0</v>
      </c>
      <c r="AC106" s="409">
        <v>0</v>
      </c>
      <c r="AD106" s="409">
        <v>466.41248112698014</v>
      </c>
      <c r="AE106" s="409">
        <v>1631.9533285561508</v>
      </c>
      <c r="AF106" s="409">
        <v>968.68123430900675</v>
      </c>
      <c r="AG106" s="409">
        <v>0</v>
      </c>
      <c r="AH106" s="409">
        <v>0</v>
      </c>
      <c r="AI106" s="409">
        <v>0</v>
      </c>
      <c r="AJ106" s="409">
        <v>0</v>
      </c>
      <c r="AK106" s="409">
        <v>0</v>
      </c>
      <c r="AL106" s="409">
        <v>40.433181485143734</v>
      </c>
      <c r="AM106" s="409"/>
      <c r="AN106" s="409">
        <v>6.8331482522256559</v>
      </c>
      <c r="AO106" s="409">
        <v>0</v>
      </c>
      <c r="AP106" s="409">
        <v>0</v>
      </c>
      <c r="AQ106" s="409">
        <v>0</v>
      </c>
      <c r="AR106" s="409">
        <v>0</v>
      </c>
      <c r="AS106" s="409">
        <v>0</v>
      </c>
      <c r="AT106" s="409">
        <v>0</v>
      </c>
      <c r="AU106" s="409">
        <v>0</v>
      </c>
      <c r="AV106" s="409">
        <v>0</v>
      </c>
      <c r="AW106" s="409">
        <v>0</v>
      </c>
      <c r="AX106" s="409">
        <v>0</v>
      </c>
      <c r="AY106" s="409">
        <v>0</v>
      </c>
      <c r="AZ106" s="409">
        <v>0</v>
      </c>
      <c r="BA106" s="409"/>
      <c r="BB106" s="409">
        <v>0</v>
      </c>
      <c r="BC106" s="409">
        <v>0</v>
      </c>
      <c r="BD106" s="409">
        <v>0</v>
      </c>
      <c r="BE106" s="409">
        <v>0</v>
      </c>
      <c r="BF106" s="409">
        <v>0</v>
      </c>
      <c r="BG106" s="409">
        <v>131.4169307658338</v>
      </c>
      <c r="BH106" s="409">
        <v>0</v>
      </c>
      <c r="BI106" s="409">
        <v>0</v>
      </c>
      <c r="BJ106" s="409">
        <v>0</v>
      </c>
      <c r="BK106" s="409">
        <v>0</v>
      </c>
      <c r="BL106" s="409">
        <v>6</v>
      </c>
      <c r="BM106" s="409"/>
      <c r="BN106" s="409"/>
      <c r="BO106" s="409"/>
      <c r="BP106" s="409"/>
      <c r="BQ106" s="409"/>
      <c r="BR106" s="409">
        <v>363.61279999999994</v>
      </c>
      <c r="BS106" s="409"/>
      <c r="BT106" s="409"/>
      <c r="BU106" s="409"/>
      <c r="BV106" s="409">
        <v>1100.0981650748406</v>
      </c>
      <c r="BW106" s="409"/>
      <c r="BX106" s="409"/>
      <c r="BY106" s="409"/>
      <c r="BZ106" s="409"/>
      <c r="CA106" s="409"/>
      <c r="CB106" s="409"/>
      <c r="CC106" s="409"/>
      <c r="CD106" s="409"/>
      <c r="CE106" s="409"/>
      <c r="CF106" s="409"/>
      <c r="CG106" s="409"/>
      <c r="CH106" s="409"/>
      <c r="CI106" s="409">
        <v>2666.2816000000003</v>
      </c>
      <c r="CJ106" s="409">
        <v>-277.15740000000051</v>
      </c>
      <c r="CK106" s="409"/>
      <c r="CL106" s="409"/>
      <c r="CM106" s="409"/>
      <c r="CN106" s="409"/>
      <c r="CO106" s="409">
        <v>-348.56839999999994</v>
      </c>
      <c r="CP106" s="409">
        <v>33.670800000000028</v>
      </c>
      <c r="CQ106" s="409">
        <v>31</v>
      </c>
      <c r="CR106" s="409">
        <v>59.19781558319346</v>
      </c>
      <c r="CS106" s="409">
        <v>0</v>
      </c>
      <c r="CT106" s="409">
        <v>0</v>
      </c>
      <c r="CU106" s="409">
        <v>0</v>
      </c>
      <c r="CV106" s="409">
        <v>0</v>
      </c>
      <c r="CW106" s="409">
        <v>0</v>
      </c>
      <c r="CX106" s="409">
        <v>0</v>
      </c>
      <c r="CY106" s="409">
        <v>0</v>
      </c>
      <c r="CZ106" s="409">
        <v>17.486092271466589</v>
      </c>
      <c r="DA106" s="409">
        <v>0</v>
      </c>
      <c r="DB106" s="409">
        <v>0</v>
      </c>
      <c r="DC106" s="409">
        <v>44.37519701670567</v>
      </c>
      <c r="DD106" s="409">
        <v>0</v>
      </c>
      <c r="DE106" s="409">
        <v>0</v>
      </c>
      <c r="DF106" s="409">
        <v>0</v>
      </c>
      <c r="DG106" s="409">
        <v>6.0201973440977383</v>
      </c>
      <c r="DH106" s="409">
        <v>0</v>
      </c>
      <c r="DI106" s="409">
        <v>-0.72225948774078574</v>
      </c>
      <c r="DJ106" s="409"/>
      <c r="DK106" s="409">
        <v>0</v>
      </c>
      <c r="DL106" s="409">
        <v>0</v>
      </c>
      <c r="DM106" s="409">
        <v>0</v>
      </c>
      <c r="DN106" s="409">
        <v>0</v>
      </c>
      <c r="DO106" s="409">
        <v>-0.22678778293661139</v>
      </c>
      <c r="DP106" s="409">
        <v>-0.40249529452678701</v>
      </c>
      <c r="DQ106" s="409">
        <v>0</v>
      </c>
      <c r="DR106" s="409">
        <v>-7.3321284838725118</v>
      </c>
      <c r="DS106" s="409"/>
      <c r="DT106" s="409"/>
      <c r="DU106" s="409"/>
      <c r="DV106" s="409">
        <v>1631.9533285561508</v>
      </c>
      <c r="DW106" s="409">
        <v>0</v>
      </c>
      <c r="DX106" s="409">
        <v>0</v>
      </c>
      <c r="DY106" s="409">
        <v>-348.56839999999988</v>
      </c>
      <c r="DZ106" s="409">
        <v>33.670799999999986</v>
      </c>
      <c r="EA106" s="409">
        <v>0</v>
      </c>
      <c r="EB106" s="409">
        <v>0</v>
      </c>
      <c r="EC106" s="409">
        <v>-374.08207737431803</v>
      </c>
      <c r="ED106" s="409">
        <v>0</v>
      </c>
      <c r="EE106" s="409">
        <v>0</v>
      </c>
      <c r="EF106" s="409">
        <v>0</v>
      </c>
      <c r="EG106" s="409">
        <v>0</v>
      </c>
      <c r="EH106" s="409">
        <v>0</v>
      </c>
      <c r="EI106" s="409">
        <v>0</v>
      </c>
      <c r="EJ106" s="409">
        <v>0</v>
      </c>
      <c r="EK106" s="409">
        <v>0</v>
      </c>
      <c r="EL106" s="409">
        <v>0</v>
      </c>
      <c r="EM106" s="409">
        <v>0</v>
      </c>
      <c r="EN106" s="409">
        <v>0</v>
      </c>
      <c r="EO106" s="409">
        <v>0</v>
      </c>
      <c r="EP106" s="409">
        <v>0</v>
      </c>
      <c r="EQ106" s="409">
        <v>0</v>
      </c>
      <c r="ER106" s="409">
        <v>0</v>
      </c>
      <c r="ES106" s="409">
        <v>0</v>
      </c>
      <c r="ET106" s="409">
        <v>0</v>
      </c>
      <c r="EU106" s="409">
        <v>0</v>
      </c>
      <c r="EV106" s="409">
        <v>254</v>
      </c>
      <c r="EW106" s="409">
        <v>0</v>
      </c>
      <c r="EX106" s="409">
        <v>0</v>
      </c>
      <c r="EY106" s="409">
        <v>0</v>
      </c>
      <c r="EZ106" s="409"/>
      <c r="FA106" s="409">
        <v>0</v>
      </c>
      <c r="FB106" s="409"/>
      <c r="FC106" s="409"/>
      <c r="FD106" s="409"/>
      <c r="FE106" s="409"/>
      <c r="FF106" s="409">
        <v>0</v>
      </c>
      <c r="FG106" s="409">
        <v>0</v>
      </c>
      <c r="FH106" s="409">
        <v>0</v>
      </c>
      <c r="FI106" s="409">
        <v>0</v>
      </c>
    </row>
    <row r="107" spans="1:165" s="874" customFormat="1">
      <c r="A107" s="409">
        <v>105</v>
      </c>
      <c r="B107" s="409" t="s">
        <v>1035</v>
      </c>
      <c r="C107" s="409" t="s">
        <v>2252</v>
      </c>
      <c r="D107" s="409" t="s">
        <v>2254</v>
      </c>
      <c r="E107" s="409" t="s">
        <v>973</v>
      </c>
      <c r="F107" s="409" t="s">
        <v>1323</v>
      </c>
      <c r="G107" s="409" t="s">
        <v>1323</v>
      </c>
      <c r="H107" s="409" t="s">
        <v>1323</v>
      </c>
      <c r="I107" s="409" t="s">
        <v>972</v>
      </c>
      <c r="J107" s="409" t="s">
        <v>2245</v>
      </c>
      <c r="K107" s="835">
        <v>44409</v>
      </c>
      <c r="L107" s="409">
        <v>0</v>
      </c>
      <c r="M107" s="409">
        <v>0</v>
      </c>
      <c r="N107" s="409">
        <v>0.03</v>
      </c>
      <c r="O107" s="409">
        <v>0.03</v>
      </c>
      <c r="P107" s="409">
        <v>0.03</v>
      </c>
      <c r="Q107" s="409">
        <v>0.03</v>
      </c>
      <c r="R107" s="409"/>
      <c r="S107" s="409">
        <v>1298.56</v>
      </c>
      <c r="T107" s="409">
        <v>214.18</v>
      </c>
      <c r="U107" s="409"/>
      <c r="V107" s="409">
        <v>45.382199999999997</v>
      </c>
      <c r="W107" s="409">
        <v>45.382199999999997</v>
      </c>
      <c r="X107" s="409">
        <v>39.384299999999996</v>
      </c>
      <c r="Y107" s="409">
        <v>0</v>
      </c>
      <c r="Z107" s="409">
        <v>0.65692380508121695</v>
      </c>
      <c r="AA107" s="409">
        <v>0</v>
      </c>
      <c r="AB107" s="409">
        <v>0</v>
      </c>
      <c r="AC107" s="409">
        <v>0</v>
      </c>
      <c r="AD107" s="409">
        <v>8.2496461738898699</v>
      </c>
      <c r="AE107" s="409">
        <v>28.864974469521869</v>
      </c>
      <c r="AF107" s="409">
        <v>6.4254232627532097</v>
      </c>
      <c r="AG107" s="409">
        <v>0</v>
      </c>
      <c r="AH107" s="409">
        <v>0</v>
      </c>
      <c r="AI107" s="409">
        <v>0</v>
      </c>
      <c r="AJ107" s="409">
        <v>0</v>
      </c>
      <c r="AK107" s="409">
        <v>0</v>
      </c>
      <c r="AL107" s="409">
        <v>0.26819999779090292</v>
      </c>
      <c r="AM107" s="409"/>
      <c r="AN107" s="409">
        <v>4.5325405492150202E-2</v>
      </c>
      <c r="AO107" s="409">
        <v>0</v>
      </c>
      <c r="AP107" s="409">
        <v>0</v>
      </c>
      <c r="AQ107" s="409">
        <v>0</v>
      </c>
      <c r="AR107" s="409">
        <v>0</v>
      </c>
      <c r="AS107" s="409">
        <v>0</v>
      </c>
      <c r="AT107" s="409">
        <v>0</v>
      </c>
      <c r="AU107" s="409">
        <v>0</v>
      </c>
      <c r="AV107" s="409">
        <v>0</v>
      </c>
      <c r="AW107" s="409">
        <v>0</v>
      </c>
      <c r="AX107" s="409">
        <v>0</v>
      </c>
      <c r="AY107" s="409">
        <v>0</v>
      </c>
      <c r="AZ107" s="409">
        <v>0</v>
      </c>
      <c r="BA107" s="409"/>
      <c r="BB107" s="409">
        <v>0</v>
      </c>
      <c r="BC107" s="409">
        <v>0</v>
      </c>
      <c r="BD107" s="409">
        <v>0</v>
      </c>
      <c r="BE107" s="409">
        <v>0</v>
      </c>
      <c r="BF107" s="409">
        <v>0</v>
      </c>
      <c r="BG107" s="409">
        <v>0.87171029452713888</v>
      </c>
      <c r="BH107" s="409">
        <v>0</v>
      </c>
      <c r="BI107" s="409">
        <v>0</v>
      </c>
      <c r="BJ107" s="409">
        <v>0</v>
      </c>
      <c r="BK107" s="409">
        <v>0</v>
      </c>
      <c r="BL107" s="409">
        <v>0</v>
      </c>
      <c r="BM107" s="409"/>
      <c r="BN107" s="409"/>
      <c r="BO107" s="409"/>
      <c r="BP107" s="409"/>
      <c r="BQ107" s="409"/>
      <c r="BR107" s="409"/>
      <c r="BS107" s="409"/>
      <c r="BT107" s="409"/>
      <c r="BU107" s="409"/>
      <c r="BV107" s="409">
        <v>7.2971335572803486</v>
      </c>
      <c r="BW107" s="409"/>
      <c r="BX107" s="409"/>
      <c r="BY107" s="409"/>
      <c r="BZ107" s="409"/>
      <c r="CA107" s="409"/>
      <c r="CB107" s="409"/>
      <c r="CC107" s="409"/>
      <c r="CD107" s="409"/>
      <c r="CE107" s="409"/>
      <c r="CF107" s="409"/>
      <c r="CG107" s="409"/>
      <c r="CH107" s="409"/>
      <c r="CI107" s="409">
        <v>39.384299999999996</v>
      </c>
      <c r="CJ107" s="409">
        <v>-6.0278999999999954</v>
      </c>
      <c r="CK107" s="409"/>
      <c r="CL107" s="409"/>
      <c r="CM107" s="409"/>
      <c r="CN107" s="409"/>
      <c r="CO107" s="409">
        <v>-6.2213999999999965</v>
      </c>
      <c r="CP107" s="409">
        <v>0.22349999999999964</v>
      </c>
      <c r="CQ107" s="409">
        <v>31</v>
      </c>
      <c r="CR107" s="409">
        <v>0.6187117447986239</v>
      </c>
      <c r="CS107" s="409">
        <v>0</v>
      </c>
      <c r="CT107" s="409">
        <v>0</v>
      </c>
      <c r="CU107" s="409">
        <v>0</v>
      </c>
      <c r="CV107" s="409">
        <v>0</v>
      </c>
      <c r="CW107" s="409">
        <v>0</v>
      </c>
      <c r="CX107" s="409">
        <v>0</v>
      </c>
      <c r="CY107" s="409">
        <v>0</v>
      </c>
      <c r="CZ107" s="409">
        <v>0.30928433530556987</v>
      </c>
      <c r="DA107" s="409">
        <v>0</v>
      </c>
      <c r="DB107" s="409">
        <v>0</v>
      </c>
      <c r="DC107" s="409">
        <v>0.29434804051281027</v>
      </c>
      <c r="DD107" s="409">
        <v>0</v>
      </c>
      <c r="DE107" s="409">
        <v>0</v>
      </c>
      <c r="DF107" s="409">
        <v>0</v>
      </c>
      <c r="DG107" s="409">
        <v>3.9932967307584111E-2</v>
      </c>
      <c r="DH107" s="409">
        <v>0</v>
      </c>
      <c r="DI107" s="409">
        <v>-4.7908669538579973E-3</v>
      </c>
      <c r="DJ107" s="409"/>
      <c r="DK107" s="409">
        <v>0</v>
      </c>
      <c r="DL107" s="409">
        <v>0</v>
      </c>
      <c r="DM107" s="409">
        <v>0</v>
      </c>
      <c r="DN107" s="409">
        <v>0</v>
      </c>
      <c r="DO107" s="409">
        <v>-1.504320972241513E-3</v>
      </c>
      <c r="DP107" s="409">
        <v>-2.6698180340472E-3</v>
      </c>
      <c r="DQ107" s="409">
        <v>0</v>
      </c>
      <c r="DR107" s="409">
        <v>-1.5888592367195399E-2</v>
      </c>
      <c r="DS107" s="409"/>
      <c r="DT107" s="409"/>
      <c r="DU107" s="409"/>
      <c r="DV107" s="409">
        <v>28.864974469521869</v>
      </c>
      <c r="DW107" s="409">
        <v>0</v>
      </c>
      <c r="DX107" s="409">
        <v>0</v>
      </c>
      <c r="DY107" s="409">
        <v>-6.2213999999999956</v>
      </c>
      <c r="DZ107" s="409">
        <v>0.22349999999999959</v>
      </c>
      <c r="EA107" s="409">
        <v>0</v>
      </c>
      <c r="EB107" s="409">
        <v>0</v>
      </c>
      <c r="EC107" s="409">
        <v>-6.6165308921356498</v>
      </c>
      <c r="ED107" s="409">
        <v>0</v>
      </c>
      <c r="EE107" s="409">
        <v>0</v>
      </c>
      <c r="EF107" s="409">
        <v>0</v>
      </c>
      <c r="EG107" s="409">
        <v>0</v>
      </c>
      <c r="EH107" s="409">
        <v>0</v>
      </c>
      <c r="EI107" s="409">
        <v>0</v>
      </c>
      <c r="EJ107" s="409">
        <v>0</v>
      </c>
      <c r="EK107" s="409">
        <v>0</v>
      </c>
      <c r="EL107" s="409">
        <v>0</v>
      </c>
      <c r="EM107" s="409">
        <v>0</v>
      </c>
      <c r="EN107" s="409">
        <v>0</v>
      </c>
      <c r="EO107" s="409">
        <v>0</v>
      </c>
      <c r="EP107" s="409">
        <v>0</v>
      </c>
      <c r="EQ107" s="409">
        <v>0</v>
      </c>
      <c r="ER107" s="409">
        <v>0</v>
      </c>
      <c r="ES107" s="409">
        <v>0</v>
      </c>
      <c r="ET107" s="409">
        <v>0</v>
      </c>
      <c r="EU107" s="409">
        <v>0</v>
      </c>
      <c r="EV107" s="409">
        <v>254</v>
      </c>
      <c r="EW107" s="409">
        <v>0</v>
      </c>
      <c r="EX107" s="409">
        <v>0</v>
      </c>
      <c r="EY107" s="409">
        <v>0</v>
      </c>
      <c r="EZ107" s="409"/>
      <c r="FA107" s="409">
        <v>0</v>
      </c>
      <c r="FB107" s="409"/>
      <c r="FC107" s="409"/>
      <c r="FD107" s="409"/>
      <c r="FE107" s="409"/>
      <c r="FF107" s="409">
        <v>0</v>
      </c>
      <c r="FG107" s="409">
        <v>0</v>
      </c>
      <c r="FH107" s="409">
        <v>0</v>
      </c>
      <c r="FI107" s="409">
        <v>0</v>
      </c>
    </row>
    <row r="108" spans="1:165" s="874" customFormat="1">
      <c r="A108" s="409">
        <v>106</v>
      </c>
      <c r="B108" s="409" t="s">
        <v>1035</v>
      </c>
      <c r="C108" s="409" t="s">
        <v>2252</v>
      </c>
      <c r="D108" s="409" t="s">
        <v>2254</v>
      </c>
      <c r="E108" s="409" t="s">
        <v>973</v>
      </c>
      <c r="F108" s="409" t="s">
        <v>1323</v>
      </c>
      <c r="G108" s="409" t="s">
        <v>1323</v>
      </c>
      <c r="H108" s="409" t="s">
        <v>1323</v>
      </c>
      <c r="I108" s="409" t="s">
        <v>2237</v>
      </c>
      <c r="J108" s="409" t="s">
        <v>2245</v>
      </c>
      <c r="K108" s="835">
        <v>44409</v>
      </c>
      <c r="L108" s="409">
        <v>0</v>
      </c>
      <c r="M108" s="409">
        <v>0</v>
      </c>
      <c r="N108" s="409">
        <v>0.36899999999999999</v>
      </c>
      <c r="O108" s="409">
        <v>0.36899999999999999</v>
      </c>
      <c r="P108" s="409">
        <v>0.36899999999999999</v>
      </c>
      <c r="Q108" s="409">
        <v>0.36899999999999999</v>
      </c>
      <c r="R108" s="409"/>
      <c r="S108" s="409">
        <v>308.83999999999997</v>
      </c>
      <c r="T108" s="409">
        <v>214.18</v>
      </c>
      <c r="U108" s="409"/>
      <c r="V108" s="409">
        <v>192.99437999999998</v>
      </c>
      <c r="W108" s="409">
        <v>192.99437999999998</v>
      </c>
      <c r="X108" s="409">
        <v>180.76940999999999</v>
      </c>
      <c r="Y108" s="409">
        <v>0</v>
      </c>
      <c r="Z108" s="409">
        <v>8.08016280249897</v>
      </c>
      <c r="AA108" s="409">
        <v>0</v>
      </c>
      <c r="AB108" s="409">
        <v>0</v>
      </c>
      <c r="AC108" s="409">
        <v>0</v>
      </c>
      <c r="AD108" s="409">
        <v>20.294707873370445</v>
      </c>
      <c r="AE108" s="409">
        <v>71.007873730728988</v>
      </c>
      <c r="AF108" s="409">
        <v>79.032706131864472</v>
      </c>
      <c r="AG108" s="409">
        <v>0</v>
      </c>
      <c r="AH108" s="409">
        <v>0</v>
      </c>
      <c r="AI108" s="409">
        <v>0</v>
      </c>
      <c r="AJ108" s="409">
        <v>0</v>
      </c>
      <c r="AK108" s="409">
        <v>0</v>
      </c>
      <c r="AL108" s="409">
        <v>3.2988599728281058</v>
      </c>
      <c r="AM108" s="409"/>
      <c r="AN108" s="409">
        <v>0.55750248755344745</v>
      </c>
      <c r="AO108" s="409">
        <v>0</v>
      </c>
      <c r="AP108" s="409">
        <v>0</v>
      </c>
      <c r="AQ108" s="409">
        <v>0</v>
      </c>
      <c r="AR108" s="409">
        <v>0</v>
      </c>
      <c r="AS108" s="409">
        <v>0</v>
      </c>
      <c r="AT108" s="409">
        <v>0</v>
      </c>
      <c r="AU108" s="409">
        <v>0</v>
      </c>
      <c r="AV108" s="409">
        <v>0</v>
      </c>
      <c r="AW108" s="409">
        <v>0</v>
      </c>
      <c r="AX108" s="409">
        <v>0</v>
      </c>
      <c r="AY108" s="409">
        <v>0</v>
      </c>
      <c r="AZ108" s="409">
        <v>0</v>
      </c>
      <c r="BA108" s="409"/>
      <c r="BB108" s="409">
        <v>0</v>
      </c>
      <c r="BC108" s="409">
        <v>0</v>
      </c>
      <c r="BD108" s="409">
        <v>0</v>
      </c>
      <c r="BE108" s="409">
        <v>0</v>
      </c>
      <c r="BF108" s="409">
        <v>0</v>
      </c>
      <c r="BG108" s="409">
        <v>10.72203662268381</v>
      </c>
      <c r="BH108" s="409">
        <v>0</v>
      </c>
      <c r="BI108" s="409">
        <v>0</v>
      </c>
      <c r="BJ108" s="409">
        <v>0</v>
      </c>
      <c r="BK108" s="409">
        <v>0</v>
      </c>
      <c r="BL108" s="409">
        <v>0</v>
      </c>
      <c r="BM108" s="409"/>
      <c r="BN108" s="409"/>
      <c r="BO108" s="409"/>
      <c r="BP108" s="409"/>
      <c r="BQ108" s="409"/>
      <c r="BR108" s="409"/>
      <c r="BS108" s="409"/>
      <c r="BT108" s="409"/>
      <c r="BU108" s="409"/>
      <c r="BV108" s="409">
        <v>89.754742754548289</v>
      </c>
      <c r="BW108" s="409"/>
      <c r="BX108" s="409"/>
      <c r="BY108" s="409"/>
      <c r="BZ108" s="409"/>
      <c r="CA108" s="409"/>
      <c r="CB108" s="409"/>
      <c r="CC108" s="409"/>
      <c r="CD108" s="409"/>
      <c r="CE108" s="409"/>
      <c r="CF108" s="409"/>
      <c r="CG108" s="409"/>
      <c r="CH108" s="409"/>
      <c r="CI108" s="409">
        <v>181.2593</v>
      </c>
      <c r="CJ108" s="409">
        <v>-11.765080000000012</v>
      </c>
      <c r="CK108" s="409"/>
      <c r="CL108" s="409"/>
      <c r="CM108" s="409"/>
      <c r="CN108" s="409"/>
      <c r="CO108" s="409">
        <v>-14.974019999999994</v>
      </c>
      <c r="CP108" s="409">
        <v>2.7490499999999956</v>
      </c>
      <c r="CQ108" s="409">
        <v>31</v>
      </c>
      <c r="CR108" s="409">
        <v>4.0512378284164754</v>
      </c>
      <c r="CS108" s="409">
        <v>0</v>
      </c>
      <c r="CT108" s="409">
        <v>0</v>
      </c>
      <c r="CU108" s="409">
        <v>0</v>
      </c>
      <c r="CV108" s="409">
        <v>0</v>
      </c>
      <c r="CW108" s="409">
        <v>0</v>
      </c>
      <c r="CX108" s="409">
        <v>0</v>
      </c>
      <c r="CY108" s="409">
        <v>0</v>
      </c>
      <c r="CZ108" s="409">
        <v>0.76086114513641334</v>
      </c>
      <c r="DA108" s="409">
        <v>0</v>
      </c>
      <c r="DB108" s="409">
        <v>0</v>
      </c>
      <c r="DC108" s="409">
        <v>3.6204808983075765</v>
      </c>
      <c r="DD108" s="409">
        <v>0</v>
      </c>
      <c r="DE108" s="409">
        <v>0</v>
      </c>
      <c r="DF108" s="409">
        <v>0</v>
      </c>
      <c r="DG108" s="409">
        <v>0.49117549788328319</v>
      </c>
      <c r="DH108" s="409">
        <v>0</v>
      </c>
      <c r="DI108" s="409">
        <v>-5.8927663532454488E-2</v>
      </c>
      <c r="DJ108" s="409"/>
      <c r="DK108" s="409">
        <v>0</v>
      </c>
      <c r="DL108" s="409">
        <v>0</v>
      </c>
      <c r="DM108" s="409">
        <v>0</v>
      </c>
      <c r="DN108" s="409">
        <v>0</v>
      </c>
      <c r="DO108" s="409">
        <v>-1.8503147958570665E-2</v>
      </c>
      <c r="DP108" s="409">
        <v>-3.2838761818780537E-2</v>
      </c>
      <c r="DQ108" s="409">
        <v>0</v>
      </c>
      <c r="DR108" s="409">
        <v>-0.71101013960098014</v>
      </c>
      <c r="DS108" s="409"/>
      <c r="DT108" s="409"/>
      <c r="DU108" s="409"/>
      <c r="DV108" s="409">
        <v>71.007873730728988</v>
      </c>
      <c r="DW108" s="409">
        <v>0</v>
      </c>
      <c r="DX108" s="409">
        <v>0</v>
      </c>
      <c r="DY108" s="409">
        <v>-14.974019999999996</v>
      </c>
      <c r="DZ108" s="409">
        <v>2.7490499999999969</v>
      </c>
      <c r="EA108" s="409">
        <v>0</v>
      </c>
      <c r="EB108" s="409">
        <v>0</v>
      </c>
      <c r="EC108" s="409">
        <v>-16.276674369496511</v>
      </c>
      <c r="ED108" s="409">
        <v>0</v>
      </c>
      <c r="EE108" s="409">
        <v>0</v>
      </c>
      <c r="EF108" s="409">
        <v>0</v>
      </c>
      <c r="EG108" s="409">
        <v>0</v>
      </c>
      <c r="EH108" s="409">
        <v>0</v>
      </c>
      <c r="EI108" s="409">
        <v>0</v>
      </c>
      <c r="EJ108" s="409">
        <v>0</v>
      </c>
      <c r="EK108" s="409">
        <v>0</v>
      </c>
      <c r="EL108" s="409">
        <v>0</v>
      </c>
      <c r="EM108" s="409">
        <v>0</v>
      </c>
      <c r="EN108" s="409">
        <v>0</v>
      </c>
      <c r="EO108" s="409">
        <v>0</v>
      </c>
      <c r="EP108" s="409">
        <v>0</v>
      </c>
      <c r="EQ108" s="409">
        <v>0</v>
      </c>
      <c r="ER108" s="409">
        <v>0</v>
      </c>
      <c r="ES108" s="409">
        <v>0</v>
      </c>
      <c r="ET108" s="409">
        <v>0</v>
      </c>
      <c r="EU108" s="409">
        <v>0</v>
      </c>
      <c r="EV108" s="409">
        <v>254</v>
      </c>
      <c r="EW108" s="409">
        <v>0</v>
      </c>
      <c r="EX108" s="409">
        <v>0</v>
      </c>
      <c r="EY108" s="409">
        <v>0</v>
      </c>
      <c r="EZ108" s="409"/>
      <c r="FA108" s="409">
        <v>0</v>
      </c>
      <c r="FB108" s="409"/>
      <c r="FC108" s="409"/>
      <c r="FD108" s="409"/>
      <c r="FE108" s="409"/>
      <c r="FF108" s="409">
        <v>0</v>
      </c>
      <c r="FG108" s="409">
        <v>0</v>
      </c>
      <c r="FH108" s="409">
        <v>0</v>
      </c>
      <c r="FI108" s="409">
        <v>0</v>
      </c>
    </row>
    <row r="109" spans="1:165" s="874" customFormat="1">
      <c r="A109" s="409">
        <v>107</v>
      </c>
      <c r="B109" s="409" t="s">
        <v>1035</v>
      </c>
      <c r="C109" s="409" t="s">
        <v>2252</v>
      </c>
      <c r="D109" s="409" t="s">
        <v>2254</v>
      </c>
      <c r="E109" s="409" t="s">
        <v>973</v>
      </c>
      <c r="F109" s="409" t="s">
        <v>1323</v>
      </c>
      <c r="G109" s="409" t="s">
        <v>1323</v>
      </c>
      <c r="H109" s="409" t="s">
        <v>1323</v>
      </c>
      <c r="I109" s="409" t="s">
        <v>1323</v>
      </c>
      <c r="J109" s="409" t="s">
        <v>2245</v>
      </c>
      <c r="K109" s="835">
        <v>44409</v>
      </c>
      <c r="L109" s="409">
        <v>0</v>
      </c>
      <c r="M109" s="409">
        <v>0</v>
      </c>
      <c r="N109" s="409">
        <v>0.27</v>
      </c>
      <c r="O109" s="409">
        <v>0.27</v>
      </c>
      <c r="P109" s="409">
        <v>0.27</v>
      </c>
      <c r="Q109" s="409">
        <v>0.27</v>
      </c>
      <c r="R109" s="409"/>
      <c r="S109" s="409">
        <v>597.01</v>
      </c>
      <c r="T109" s="409">
        <v>243.39</v>
      </c>
      <c r="U109" s="409"/>
      <c r="V109" s="409">
        <v>226.90800000000002</v>
      </c>
      <c r="W109" s="409">
        <v>226.90800000000002</v>
      </c>
      <c r="X109" s="409">
        <v>205.54560000000004</v>
      </c>
      <c r="Y109" s="409">
        <v>0</v>
      </c>
      <c r="Z109" s="409">
        <v>6.7185389156033528</v>
      </c>
      <c r="AA109" s="409">
        <v>0</v>
      </c>
      <c r="AB109" s="409">
        <v>0</v>
      </c>
      <c r="AC109" s="409">
        <v>0</v>
      </c>
      <c r="AD109" s="409">
        <v>31.641047714644383</v>
      </c>
      <c r="AE109" s="409">
        <v>110.71040168597004</v>
      </c>
      <c r="AF109" s="409">
        <v>65.714556096339663</v>
      </c>
      <c r="AG109" s="409">
        <v>0</v>
      </c>
      <c r="AH109" s="409">
        <v>0</v>
      </c>
      <c r="AI109" s="409">
        <v>0</v>
      </c>
      <c r="AJ109" s="409">
        <v>0</v>
      </c>
      <c r="AK109" s="409">
        <v>0</v>
      </c>
      <c r="AL109" s="409">
        <v>2.7429545228615098</v>
      </c>
      <c r="AM109" s="409"/>
      <c r="AN109" s="409">
        <v>0.46355528344244401</v>
      </c>
      <c r="AO109" s="409">
        <v>0</v>
      </c>
      <c r="AP109" s="409">
        <v>0</v>
      </c>
      <c r="AQ109" s="409">
        <v>0</v>
      </c>
      <c r="AR109" s="409">
        <v>0</v>
      </c>
      <c r="AS109" s="409">
        <v>0</v>
      </c>
      <c r="AT109" s="409">
        <v>0</v>
      </c>
      <c r="AU109" s="409">
        <v>0</v>
      </c>
      <c r="AV109" s="409">
        <v>0</v>
      </c>
      <c r="AW109" s="409">
        <v>0</v>
      </c>
      <c r="AX109" s="409">
        <v>0</v>
      </c>
      <c r="AY109" s="409">
        <v>0</v>
      </c>
      <c r="AZ109" s="409">
        <v>0</v>
      </c>
      <c r="BA109" s="409"/>
      <c r="BB109" s="409">
        <v>0</v>
      </c>
      <c r="BC109" s="409">
        <v>0</v>
      </c>
      <c r="BD109" s="409">
        <v>0</v>
      </c>
      <c r="BE109" s="409">
        <v>0</v>
      </c>
      <c r="BF109" s="409">
        <v>0</v>
      </c>
      <c r="BG109" s="409">
        <v>8.9152189213002835</v>
      </c>
      <c r="BH109" s="409">
        <v>0</v>
      </c>
      <c r="BI109" s="409">
        <v>0.85</v>
      </c>
      <c r="BJ109" s="409">
        <v>3.93</v>
      </c>
      <c r="BK109" s="409">
        <v>0</v>
      </c>
      <c r="BL109" s="409">
        <v>5</v>
      </c>
      <c r="BM109" s="409"/>
      <c r="BN109" s="409"/>
      <c r="BO109" s="409"/>
      <c r="BP109" s="409"/>
      <c r="BQ109" s="409"/>
      <c r="BR109" s="409">
        <v>24.667199999999994</v>
      </c>
      <c r="BS109" s="409"/>
      <c r="BT109" s="409"/>
      <c r="BU109" s="409"/>
      <c r="BV109" s="409">
        <v>74.629775017639943</v>
      </c>
      <c r="BW109" s="409"/>
      <c r="BX109" s="409"/>
      <c r="BY109" s="409"/>
      <c r="BZ109" s="409"/>
      <c r="CA109" s="409"/>
      <c r="CB109" s="409"/>
      <c r="CC109" s="409"/>
      <c r="CD109" s="409"/>
      <c r="CE109" s="409"/>
      <c r="CF109" s="409"/>
      <c r="CG109" s="409"/>
      <c r="CH109" s="409"/>
      <c r="CI109" s="409">
        <v>180.8784</v>
      </c>
      <c r="CJ109" s="409">
        <v>-18.830100000000016</v>
      </c>
      <c r="CK109" s="409"/>
      <c r="CL109" s="409"/>
      <c r="CM109" s="409"/>
      <c r="CN109" s="409"/>
      <c r="CO109" s="409">
        <v>-23.646599999999996</v>
      </c>
      <c r="CP109" s="409">
        <v>2.2842000000000025</v>
      </c>
      <c r="CQ109" s="409">
        <v>31</v>
      </c>
      <c r="CR109" s="409">
        <v>4.0159322129302097</v>
      </c>
      <c r="CS109" s="409">
        <v>0</v>
      </c>
      <c r="CT109" s="409">
        <v>0</v>
      </c>
      <c r="CU109" s="409">
        <v>0</v>
      </c>
      <c r="CV109" s="409">
        <v>0</v>
      </c>
      <c r="CW109" s="409">
        <v>0</v>
      </c>
      <c r="CX109" s="409">
        <v>0</v>
      </c>
      <c r="CY109" s="409">
        <v>0</v>
      </c>
      <c r="CZ109" s="409">
        <v>1.1862424405266303</v>
      </c>
      <c r="DA109" s="409">
        <v>0</v>
      </c>
      <c r="DB109" s="409">
        <v>0</v>
      </c>
      <c r="DC109" s="409">
        <v>3.0103776870629417</v>
      </c>
      <c r="DD109" s="409">
        <v>0</v>
      </c>
      <c r="DE109" s="409">
        <v>0</v>
      </c>
      <c r="DF109" s="409">
        <v>0</v>
      </c>
      <c r="DG109" s="409">
        <v>0.40840534746391732</v>
      </c>
      <c r="DH109" s="409">
        <v>0</v>
      </c>
      <c r="DI109" s="409">
        <v>-4.8997502937188742E-2</v>
      </c>
      <c r="DJ109" s="409"/>
      <c r="DK109" s="409">
        <v>0</v>
      </c>
      <c r="DL109" s="409">
        <v>0</v>
      </c>
      <c r="DM109" s="409">
        <v>0</v>
      </c>
      <c r="DN109" s="409">
        <v>0</v>
      </c>
      <c r="DO109" s="409">
        <v>-1.5385100852483902E-2</v>
      </c>
      <c r="DP109" s="409">
        <v>-2.7304957166390087E-2</v>
      </c>
      <c r="DQ109" s="409">
        <v>0</v>
      </c>
      <c r="DR109" s="409">
        <v>-0.49740570116723065</v>
      </c>
      <c r="DS109" s="409"/>
      <c r="DT109" s="409"/>
      <c r="DU109" s="409"/>
      <c r="DV109" s="409">
        <v>110.71040168597004</v>
      </c>
      <c r="DW109" s="409">
        <v>0</v>
      </c>
      <c r="DX109" s="409">
        <v>0</v>
      </c>
      <c r="DY109" s="409">
        <v>-23.646599999999978</v>
      </c>
      <c r="DZ109" s="409">
        <v>2.2841999999999985</v>
      </c>
      <c r="EA109" s="409">
        <v>0</v>
      </c>
      <c r="EB109" s="409">
        <v>0</v>
      </c>
      <c r="EC109" s="409">
        <v>-25.377427359564294</v>
      </c>
      <c r="ED109" s="409">
        <v>0</v>
      </c>
      <c r="EE109" s="409">
        <v>0</v>
      </c>
      <c r="EF109" s="409">
        <v>0</v>
      </c>
      <c r="EG109" s="409">
        <v>0</v>
      </c>
      <c r="EH109" s="409">
        <v>0</v>
      </c>
      <c r="EI109" s="409">
        <v>0</v>
      </c>
      <c r="EJ109" s="409">
        <v>0</v>
      </c>
      <c r="EK109" s="409">
        <v>0</v>
      </c>
      <c r="EL109" s="409">
        <v>0</v>
      </c>
      <c r="EM109" s="409">
        <v>0</v>
      </c>
      <c r="EN109" s="409">
        <v>0</v>
      </c>
      <c r="EO109" s="409">
        <v>0</v>
      </c>
      <c r="EP109" s="409">
        <v>0</v>
      </c>
      <c r="EQ109" s="409">
        <v>0</v>
      </c>
      <c r="ER109" s="409">
        <v>0</v>
      </c>
      <c r="ES109" s="409">
        <v>0</v>
      </c>
      <c r="ET109" s="409">
        <v>0</v>
      </c>
      <c r="EU109" s="409">
        <v>0</v>
      </c>
      <c r="EV109" s="409">
        <v>254</v>
      </c>
      <c r="EW109" s="409">
        <v>0</v>
      </c>
      <c r="EX109" s="409">
        <v>0</v>
      </c>
      <c r="EY109" s="409">
        <v>0</v>
      </c>
      <c r="EZ109" s="409"/>
      <c r="FA109" s="409">
        <v>0</v>
      </c>
      <c r="FB109" s="409"/>
      <c r="FC109" s="409"/>
      <c r="FD109" s="409"/>
      <c r="FE109" s="409"/>
      <c r="FF109" s="409">
        <v>0</v>
      </c>
      <c r="FG109" s="409">
        <v>0</v>
      </c>
      <c r="FH109" s="409">
        <v>0</v>
      </c>
      <c r="FI109" s="409">
        <v>0</v>
      </c>
    </row>
    <row r="110" spans="1:165" s="874" customFormat="1">
      <c r="A110" s="409">
        <v>108</v>
      </c>
      <c r="B110" s="409" t="s">
        <v>1035</v>
      </c>
      <c r="C110" s="409" t="s">
        <v>2252</v>
      </c>
      <c r="D110" s="409" t="s">
        <v>2254</v>
      </c>
      <c r="E110" s="409" t="s">
        <v>973</v>
      </c>
      <c r="F110" s="409" t="s">
        <v>1323</v>
      </c>
      <c r="G110" s="409" t="s">
        <v>1323</v>
      </c>
      <c r="H110" s="409" t="s">
        <v>1323</v>
      </c>
      <c r="I110" s="409" t="s">
        <v>2253</v>
      </c>
      <c r="J110" s="409" t="s">
        <v>2245</v>
      </c>
      <c r="K110" s="835">
        <v>44409</v>
      </c>
      <c r="L110" s="409">
        <v>0</v>
      </c>
      <c r="M110" s="409">
        <v>0</v>
      </c>
      <c r="N110" s="409">
        <v>2.1000000000000001E-2</v>
      </c>
      <c r="O110" s="409">
        <v>2.1000000000000001E-2</v>
      </c>
      <c r="P110" s="409">
        <v>2.1000000000000001E-2</v>
      </c>
      <c r="Q110" s="409">
        <v>2.1000000000000001E-2</v>
      </c>
      <c r="R110" s="409"/>
      <c r="S110" s="409">
        <v>803.7</v>
      </c>
      <c r="T110" s="409">
        <v>214.18</v>
      </c>
      <c r="U110" s="409"/>
      <c r="V110" s="409">
        <v>21.375480000000003</v>
      </c>
      <c r="W110" s="409">
        <v>21.375480000000003</v>
      </c>
      <c r="X110" s="409">
        <v>18.928350000000002</v>
      </c>
      <c r="Y110" s="409">
        <v>0</v>
      </c>
      <c r="Z110" s="409">
        <v>0.45984666355685194</v>
      </c>
      <c r="AA110" s="409">
        <v>0</v>
      </c>
      <c r="AB110" s="409">
        <v>0</v>
      </c>
      <c r="AC110" s="409">
        <v>0</v>
      </c>
      <c r="AD110" s="409">
        <v>3.4648667797903321</v>
      </c>
      <c r="AE110" s="409">
        <v>12.123285118663636</v>
      </c>
      <c r="AF110" s="409">
        <v>4.4977962839272472</v>
      </c>
      <c r="AG110" s="409">
        <v>0</v>
      </c>
      <c r="AH110" s="409">
        <v>0</v>
      </c>
      <c r="AI110" s="409">
        <v>0</v>
      </c>
      <c r="AJ110" s="409">
        <v>0</v>
      </c>
      <c r="AK110" s="409">
        <v>0</v>
      </c>
      <c r="AL110" s="409">
        <v>0.18773999845363207</v>
      </c>
      <c r="AM110" s="409"/>
      <c r="AN110" s="409">
        <v>3.1727783844505142E-2</v>
      </c>
      <c r="AO110" s="409">
        <v>0</v>
      </c>
      <c r="AP110" s="409">
        <v>0</v>
      </c>
      <c r="AQ110" s="409">
        <v>0</v>
      </c>
      <c r="AR110" s="409">
        <v>0</v>
      </c>
      <c r="AS110" s="409">
        <v>0</v>
      </c>
      <c r="AT110" s="409">
        <v>0</v>
      </c>
      <c r="AU110" s="409">
        <v>0</v>
      </c>
      <c r="AV110" s="409">
        <v>0</v>
      </c>
      <c r="AW110" s="409">
        <v>0</v>
      </c>
      <c r="AX110" s="409">
        <v>0</v>
      </c>
      <c r="AY110" s="409">
        <v>0</v>
      </c>
      <c r="AZ110" s="409">
        <v>0</v>
      </c>
      <c r="BA110" s="409"/>
      <c r="BB110" s="409">
        <v>0</v>
      </c>
      <c r="BC110" s="409">
        <v>0</v>
      </c>
      <c r="BD110" s="409">
        <v>0</v>
      </c>
      <c r="BE110" s="409">
        <v>0</v>
      </c>
      <c r="BF110" s="409">
        <v>0</v>
      </c>
      <c r="BG110" s="409">
        <v>0.61019720616899731</v>
      </c>
      <c r="BH110" s="409">
        <v>0</v>
      </c>
      <c r="BI110" s="409">
        <v>0</v>
      </c>
      <c r="BJ110" s="409">
        <v>0</v>
      </c>
      <c r="BK110" s="409">
        <v>0</v>
      </c>
      <c r="BL110" s="409">
        <v>0</v>
      </c>
      <c r="BM110" s="409"/>
      <c r="BN110" s="409"/>
      <c r="BO110" s="409"/>
      <c r="BP110" s="409"/>
      <c r="BQ110" s="409"/>
      <c r="BR110" s="409"/>
      <c r="BS110" s="409"/>
      <c r="BT110" s="409"/>
      <c r="BU110" s="409"/>
      <c r="BV110" s="409">
        <v>5.1079934900962449</v>
      </c>
      <c r="BW110" s="409"/>
      <c r="BX110" s="409"/>
      <c r="BY110" s="409"/>
      <c r="BZ110" s="409"/>
      <c r="CA110" s="409"/>
      <c r="CB110" s="409"/>
      <c r="CC110" s="409"/>
      <c r="CD110" s="409"/>
      <c r="CE110" s="409"/>
      <c r="CF110" s="409"/>
      <c r="CG110" s="409"/>
      <c r="CH110" s="409"/>
      <c r="CI110" s="409">
        <v>18.027000000000001</v>
      </c>
      <c r="CJ110" s="409">
        <v>-3.3784800000000068</v>
      </c>
      <c r="CK110" s="409"/>
      <c r="CL110" s="409"/>
      <c r="CM110" s="409"/>
      <c r="CN110" s="409"/>
      <c r="CO110" s="409">
        <v>-2.6035800000000004</v>
      </c>
      <c r="CP110" s="409">
        <v>0.15644999999999978</v>
      </c>
      <c r="CQ110" s="409">
        <v>31</v>
      </c>
      <c r="CR110" s="409">
        <v>0.33182818697170902</v>
      </c>
      <c r="CS110" s="409">
        <v>0</v>
      </c>
      <c r="CT110" s="409">
        <v>0</v>
      </c>
      <c r="CU110" s="409">
        <v>0</v>
      </c>
      <c r="CV110" s="409">
        <v>0</v>
      </c>
      <c r="CW110" s="409">
        <v>0</v>
      </c>
      <c r="CX110" s="409">
        <v>0</v>
      </c>
      <c r="CY110" s="409">
        <v>0</v>
      </c>
      <c r="CZ110" s="409">
        <v>0.12989999768734828</v>
      </c>
      <c r="DA110" s="409">
        <v>0</v>
      </c>
      <c r="DB110" s="409">
        <v>0</v>
      </c>
      <c r="DC110" s="409">
        <v>0.20604362835896772</v>
      </c>
      <c r="DD110" s="409">
        <v>0</v>
      </c>
      <c r="DE110" s="409">
        <v>0</v>
      </c>
      <c r="DF110" s="409">
        <v>0</v>
      </c>
      <c r="DG110" s="409">
        <v>2.7953077115308811E-2</v>
      </c>
      <c r="DH110" s="409">
        <v>0</v>
      </c>
      <c r="DI110" s="409">
        <v>-3.3536068677006425E-3</v>
      </c>
      <c r="DJ110" s="409"/>
      <c r="DK110" s="409">
        <v>0</v>
      </c>
      <c r="DL110" s="409">
        <v>0</v>
      </c>
      <c r="DM110" s="409">
        <v>0</v>
      </c>
      <c r="DN110" s="409">
        <v>0</v>
      </c>
      <c r="DO110" s="409">
        <v>-1.0530246805690868E-3</v>
      </c>
      <c r="DP110" s="409">
        <v>-1.8688726238330379E-3</v>
      </c>
      <c r="DQ110" s="409">
        <v>0</v>
      </c>
      <c r="DR110" s="409">
        <v>-2.5793012017813109E-2</v>
      </c>
      <c r="DS110" s="409"/>
      <c r="DT110" s="409"/>
      <c r="DU110" s="409"/>
      <c r="DV110" s="409">
        <v>12.123285118663636</v>
      </c>
      <c r="DW110" s="409">
        <v>0</v>
      </c>
      <c r="DX110" s="409">
        <v>0</v>
      </c>
      <c r="DY110" s="409">
        <v>-2.6035799999999991</v>
      </c>
      <c r="DZ110" s="409">
        <v>0.15644999999999953</v>
      </c>
      <c r="EA110" s="409">
        <v>0</v>
      </c>
      <c r="EB110" s="409">
        <v>0</v>
      </c>
      <c r="EC110" s="409">
        <v>-2.7789420214628535</v>
      </c>
      <c r="ED110" s="409">
        <v>0</v>
      </c>
      <c r="EE110" s="409">
        <v>0</v>
      </c>
      <c r="EF110" s="409">
        <v>0</v>
      </c>
      <c r="EG110" s="409">
        <v>0</v>
      </c>
      <c r="EH110" s="409">
        <v>0</v>
      </c>
      <c r="EI110" s="409">
        <v>0</v>
      </c>
      <c r="EJ110" s="409">
        <v>0</v>
      </c>
      <c r="EK110" s="409">
        <v>0</v>
      </c>
      <c r="EL110" s="409">
        <v>0</v>
      </c>
      <c r="EM110" s="409">
        <v>0</v>
      </c>
      <c r="EN110" s="409">
        <v>0</v>
      </c>
      <c r="EO110" s="409">
        <v>0</v>
      </c>
      <c r="EP110" s="409">
        <v>0</v>
      </c>
      <c r="EQ110" s="409">
        <v>0</v>
      </c>
      <c r="ER110" s="409">
        <v>0</v>
      </c>
      <c r="ES110" s="409">
        <v>0</v>
      </c>
      <c r="ET110" s="409">
        <v>0</v>
      </c>
      <c r="EU110" s="409">
        <v>0</v>
      </c>
      <c r="EV110" s="409">
        <v>254</v>
      </c>
      <c r="EW110" s="409">
        <v>0</v>
      </c>
      <c r="EX110" s="409">
        <v>0</v>
      </c>
      <c r="EY110" s="409">
        <v>0</v>
      </c>
      <c r="EZ110" s="409"/>
      <c r="FA110" s="409">
        <v>0</v>
      </c>
      <c r="FB110" s="409"/>
      <c r="FC110" s="409"/>
      <c r="FD110" s="409"/>
      <c r="FE110" s="409"/>
      <c r="FF110" s="409">
        <v>0</v>
      </c>
      <c r="FG110" s="409">
        <v>0</v>
      </c>
      <c r="FH110" s="409">
        <v>0</v>
      </c>
      <c r="FI110" s="409">
        <v>0</v>
      </c>
    </row>
    <row r="111" spans="1:165" s="874" customFormat="1">
      <c r="A111" s="409">
        <v>109</v>
      </c>
      <c r="B111" s="409" t="s">
        <v>1035</v>
      </c>
      <c r="C111" s="409" t="s">
        <v>2244</v>
      </c>
      <c r="D111" s="409" t="s">
        <v>1994</v>
      </c>
      <c r="E111" s="409" t="s">
        <v>2255</v>
      </c>
      <c r="F111" s="409" t="s">
        <v>1323</v>
      </c>
      <c r="G111" s="409" t="s">
        <v>1323</v>
      </c>
      <c r="H111" s="409" t="s">
        <v>1323</v>
      </c>
      <c r="I111" s="409" t="s">
        <v>1323</v>
      </c>
      <c r="J111" s="409" t="s">
        <v>2245</v>
      </c>
      <c r="K111" s="835">
        <v>44409</v>
      </c>
      <c r="L111" s="409">
        <v>0</v>
      </c>
      <c r="M111" s="409">
        <v>0</v>
      </c>
      <c r="N111" s="409">
        <v>17.021999999999998</v>
      </c>
      <c r="O111" s="409">
        <v>17.021999999999998</v>
      </c>
      <c r="P111" s="409">
        <v>17.021999999999998</v>
      </c>
      <c r="Q111" s="409">
        <v>17.021999999999998</v>
      </c>
      <c r="R111" s="409"/>
      <c r="S111" s="409">
        <v>597.01</v>
      </c>
      <c r="T111" s="409">
        <v>243.39</v>
      </c>
      <c r="U111" s="409"/>
      <c r="V111" s="409">
        <v>14305.288799999998</v>
      </c>
      <c r="W111" s="409">
        <v>14305.288799999998</v>
      </c>
      <c r="X111" s="409">
        <v>12958.508159999998</v>
      </c>
      <c r="Y111" s="409">
        <v>0</v>
      </c>
      <c r="Z111" s="409">
        <v>423.56655341259352</v>
      </c>
      <c r="AA111" s="409">
        <v>0</v>
      </c>
      <c r="AB111" s="409">
        <v>0</v>
      </c>
      <c r="AC111" s="409">
        <v>0</v>
      </c>
      <c r="AD111" s="409">
        <v>1994.7922748099134</v>
      </c>
      <c r="AE111" s="409">
        <v>6979.6757685132661</v>
      </c>
      <c r="AF111" s="409">
        <v>4142.9376810070135</v>
      </c>
      <c r="AG111" s="409">
        <v>0</v>
      </c>
      <c r="AH111" s="409">
        <v>0</v>
      </c>
      <c r="AI111" s="409">
        <v>0</v>
      </c>
      <c r="AJ111" s="409">
        <v>0</v>
      </c>
      <c r="AK111" s="409">
        <v>0</v>
      </c>
      <c r="AL111" s="409">
        <v>172.92804403018005</v>
      </c>
      <c r="AM111" s="409"/>
      <c r="AN111" s="409">
        <v>29.224585313915856</v>
      </c>
      <c r="AO111" s="409">
        <v>0</v>
      </c>
      <c r="AP111" s="409">
        <v>0</v>
      </c>
      <c r="AQ111" s="409">
        <v>0</v>
      </c>
      <c r="AR111" s="409">
        <v>0</v>
      </c>
      <c r="AS111" s="409">
        <v>0</v>
      </c>
      <c r="AT111" s="409">
        <v>0</v>
      </c>
      <c r="AU111" s="409">
        <v>0</v>
      </c>
      <c r="AV111" s="409">
        <v>0</v>
      </c>
      <c r="AW111" s="409">
        <v>0</v>
      </c>
      <c r="AX111" s="409">
        <v>0</v>
      </c>
      <c r="AY111" s="409">
        <v>0</v>
      </c>
      <c r="AZ111" s="409">
        <v>0</v>
      </c>
      <c r="BA111" s="409"/>
      <c r="BB111" s="409">
        <v>0</v>
      </c>
      <c r="BC111" s="409">
        <v>0</v>
      </c>
      <c r="BD111" s="409">
        <v>0</v>
      </c>
      <c r="BE111" s="409">
        <v>0</v>
      </c>
      <c r="BF111" s="409">
        <v>0</v>
      </c>
      <c r="BG111" s="409">
        <v>562.05502399397562</v>
      </c>
      <c r="BH111" s="409">
        <v>0</v>
      </c>
      <c r="BI111" s="409">
        <v>12.27</v>
      </c>
      <c r="BJ111" s="409">
        <v>56.59</v>
      </c>
      <c r="BK111" s="409">
        <v>992.33</v>
      </c>
      <c r="BL111" s="409">
        <v>31</v>
      </c>
      <c r="BM111" s="409"/>
      <c r="BN111" s="409"/>
      <c r="BO111" s="409"/>
      <c r="BP111" s="409"/>
      <c r="BQ111" s="409"/>
      <c r="BR111" s="409"/>
      <c r="BS111" s="409"/>
      <c r="BT111" s="409"/>
      <c r="BU111" s="409"/>
      <c r="BV111" s="409">
        <v>4704.9927050009892</v>
      </c>
      <c r="BW111" s="409"/>
      <c r="BX111" s="409"/>
      <c r="BY111" s="409"/>
      <c r="BZ111" s="409"/>
      <c r="CA111" s="409"/>
      <c r="CB111" s="409"/>
      <c r="CC111" s="409"/>
      <c r="CD111" s="409"/>
      <c r="CE111" s="409"/>
      <c r="CF111" s="409"/>
      <c r="CG111" s="409"/>
      <c r="CH111" s="409"/>
      <c r="CI111" s="409">
        <v>12956.9856</v>
      </c>
      <c r="CJ111" s="409">
        <v>-1348.3331999999991</v>
      </c>
      <c r="CK111" s="409"/>
      <c r="CL111" s="409"/>
      <c r="CM111" s="409"/>
      <c r="CN111" s="409"/>
      <c r="CO111" s="409">
        <v>-1490.7867599999995</v>
      </c>
      <c r="CP111" s="409">
        <v>144.00612000000012</v>
      </c>
      <c r="CQ111" s="409">
        <v>31</v>
      </c>
      <c r="CR111" s="409">
        <v>253.18221529073253</v>
      </c>
      <c r="CS111" s="409">
        <v>0</v>
      </c>
      <c r="CT111" s="409">
        <v>0</v>
      </c>
      <c r="CU111" s="409">
        <v>0</v>
      </c>
      <c r="CV111" s="409">
        <v>0</v>
      </c>
      <c r="CW111" s="409">
        <v>0</v>
      </c>
      <c r="CX111" s="409">
        <v>0</v>
      </c>
      <c r="CY111" s="409">
        <v>0</v>
      </c>
      <c r="CZ111" s="409">
        <v>74.78599563942339</v>
      </c>
      <c r="DA111" s="409">
        <v>0</v>
      </c>
      <c r="DB111" s="409">
        <v>0</v>
      </c>
      <c r="DC111" s="409">
        <v>189.78758884883428</v>
      </c>
      <c r="DD111" s="409">
        <v>0</v>
      </c>
      <c r="DE111" s="409">
        <v>0</v>
      </c>
      <c r="DF111" s="409">
        <v>0</v>
      </c>
      <c r="DG111" s="409">
        <v>25.747688239002855</v>
      </c>
      <c r="DH111" s="409">
        <v>0</v>
      </c>
      <c r="DI111" s="409">
        <v>-3.0890203518400767</v>
      </c>
      <c r="DJ111" s="409"/>
      <c r="DK111" s="409">
        <v>0</v>
      </c>
      <c r="DL111" s="409">
        <v>0</v>
      </c>
      <c r="DM111" s="409">
        <v>0</v>
      </c>
      <c r="DN111" s="409">
        <v>0</v>
      </c>
      <c r="DO111" s="409">
        <v>-0.96994513596658294</v>
      </c>
      <c r="DP111" s="409">
        <v>-1.7214258551344166</v>
      </c>
      <c r="DQ111" s="409">
        <v>0</v>
      </c>
      <c r="DR111" s="409">
        <v>-31.358666093587409</v>
      </c>
      <c r="DS111" s="409"/>
      <c r="DT111" s="409"/>
      <c r="DU111" s="409"/>
      <c r="DV111" s="409">
        <v>6979.6757685132661</v>
      </c>
      <c r="DW111" s="409">
        <v>0</v>
      </c>
      <c r="DX111" s="409">
        <v>0</v>
      </c>
      <c r="DY111" s="409">
        <v>-1490.786759999999</v>
      </c>
      <c r="DZ111" s="409">
        <v>144.00612000000001</v>
      </c>
      <c r="EA111" s="409">
        <v>0</v>
      </c>
      <c r="EB111" s="409">
        <v>0</v>
      </c>
      <c r="EC111" s="409">
        <v>-1599.9058093129752</v>
      </c>
      <c r="ED111" s="409">
        <v>0</v>
      </c>
      <c r="EE111" s="409">
        <v>0</v>
      </c>
      <c r="EF111" s="409">
        <v>0</v>
      </c>
      <c r="EG111" s="409">
        <v>0</v>
      </c>
      <c r="EH111" s="409">
        <v>0</v>
      </c>
      <c r="EI111" s="409">
        <v>0</v>
      </c>
      <c r="EJ111" s="409">
        <v>0</v>
      </c>
      <c r="EK111" s="409">
        <v>0</v>
      </c>
      <c r="EL111" s="409">
        <v>0</v>
      </c>
      <c r="EM111" s="409">
        <v>0</v>
      </c>
      <c r="EN111" s="409">
        <v>0</v>
      </c>
      <c r="EO111" s="409">
        <v>0</v>
      </c>
      <c r="EP111" s="409">
        <v>0</v>
      </c>
      <c r="EQ111" s="409">
        <v>0</v>
      </c>
      <c r="ER111" s="409">
        <v>0</v>
      </c>
      <c r="ES111" s="409">
        <v>0</v>
      </c>
      <c r="ET111" s="409">
        <v>0</v>
      </c>
      <c r="EU111" s="409">
        <v>0</v>
      </c>
      <c r="EV111" s="409">
        <v>254</v>
      </c>
      <c r="EW111" s="409">
        <v>0</v>
      </c>
      <c r="EX111" s="409">
        <v>0</v>
      </c>
      <c r="EY111" s="409">
        <v>0</v>
      </c>
      <c r="EZ111" s="409"/>
      <c r="FA111" s="409">
        <v>0</v>
      </c>
      <c r="FB111" s="409"/>
      <c r="FC111" s="409"/>
      <c r="FD111" s="409"/>
      <c r="FE111" s="409"/>
      <c r="FF111" s="409">
        <v>0</v>
      </c>
      <c r="FG111" s="409">
        <v>0</v>
      </c>
      <c r="FH111" s="409">
        <v>0</v>
      </c>
      <c r="FI111" s="409">
        <v>0</v>
      </c>
    </row>
    <row r="112" spans="1:165" s="874" customFormat="1">
      <c r="A112" s="409">
        <v>110</v>
      </c>
      <c r="B112" s="409" t="s">
        <v>1035</v>
      </c>
      <c r="C112" s="409" t="s">
        <v>2244</v>
      </c>
      <c r="D112" s="409" t="s">
        <v>2256</v>
      </c>
      <c r="E112" s="409" t="s">
        <v>2257</v>
      </c>
      <c r="F112" s="409" t="s">
        <v>2258</v>
      </c>
      <c r="G112" s="409" t="s">
        <v>1323</v>
      </c>
      <c r="H112" s="409" t="s">
        <v>1323</v>
      </c>
      <c r="I112" s="409" t="s">
        <v>1323</v>
      </c>
      <c r="J112" s="409" t="s">
        <v>2245</v>
      </c>
      <c r="K112" s="835">
        <v>44409</v>
      </c>
      <c r="L112" s="409">
        <v>0</v>
      </c>
      <c r="M112" s="409">
        <v>0</v>
      </c>
      <c r="N112" s="409">
        <v>127.328</v>
      </c>
      <c r="O112" s="409">
        <v>127.328</v>
      </c>
      <c r="P112" s="409">
        <v>127.328</v>
      </c>
      <c r="Q112" s="409">
        <v>127.328</v>
      </c>
      <c r="R112" s="409"/>
      <c r="S112" s="409">
        <v>328.35</v>
      </c>
      <c r="T112" s="409">
        <v>133.86000000000001</v>
      </c>
      <c r="U112" s="409"/>
      <c r="V112" s="409">
        <v>58852.274880000004</v>
      </c>
      <c r="W112" s="409">
        <v>58852.274880000004</v>
      </c>
      <c r="X112" s="409">
        <v>53312.233600000007</v>
      </c>
      <c r="Y112" s="409">
        <v>0</v>
      </c>
      <c r="Z112" s="409">
        <v>1742.5998802787767</v>
      </c>
      <c r="AA112" s="409">
        <v>0</v>
      </c>
      <c r="AB112" s="409">
        <v>0</v>
      </c>
      <c r="AC112" s="409">
        <v>0</v>
      </c>
      <c r="AD112" s="409">
        <v>8206.7971402801177</v>
      </c>
      <c r="AE112" s="409">
        <v>28715.161904552482</v>
      </c>
      <c r="AF112" s="409">
        <v>17044.506108330032</v>
      </c>
      <c r="AG112" s="409">
        <v>0</v>
      </c>
      <c r="AH112" s="409">
        <v>0</v>
      </c>
      <c r="AI112" s="409">
        <v>0</v>
      </c>
      <c r="AJ112" s="409">
        <v>0</v>
      </c>
      <c r="AK112" s="409">
        <v>0</v>
      </c>
      <c r="AL112" s="409">
        <v>711.44519414000251</v>
      </c>
      <c r="AM112" s="409"/>
      <c r="AN112" s="409">
        <v>120.23319230217703</v>
      </c>
      <c r="AO112" s="409">
        <v>0</v>
      </c>
      <c r="AP112" s="409">
        <v>0</v>
      </c>
      <c r="AQ112" s="409">
        <v>0</v>
      </c>
      <c r="AR112" s="409">
        <v>0</v>
      </c>
      <c r="AS112" s="409">
        <v>0</v>
      </c>
      <c r="AT112" s="409">
        <v>0</v>
      </c>
      <c r="AU112" s="409">
        <v>0</v>
      </c>
      <c r="AV112" s="409">
        <v>0</v>
      </c>
      <c r="AW112" s="409">
        <v>0</v>
      </c>
      <c r="AX112" s="409">
        <v>0</v>
      </c>
      <c r="AY112" s="409">
        <v>0</v>
      </c>
      <c r="AZ112" s="409">
        <v>0</v>
      </c>
      <c r="BA112" s="409"/>
      <c r="BB112" s="409">
        <v>0</v>
      </c>
      <c r="BC112" s="409">
        <v>0</v>
      </c>
      <c r="BD112" s="409">
        <v>0</v>
      </c>
      <c r="BE112" s="409">
        <v>0</v>
      </c>
      <c r="BF112" s="409">
        <v>0</v>
      </c>
      <c r="BG112" s="409">
        <v>2312.3568412823288</v>
      </c>
      <c r="BH112" s="409">
        <v>0</v>
      </c>
      <c r="BI112" s="409">
        <v>0</v>
      </c>
      <c r="BJ112" s="409">
        <v>0</v>
      </c>
      <c r="BK112" s="409">
        <v>0</v>
      </c>
      <c r="BL112" s="409">
        <v>5</v>
      </c>
      <c r="BM112" s="409"/>
      <c r="BN112" s="409"/>
      <c r="BO112" s="409"/>
      <c r="BP112" s="409"/>
      <c r="BQ112" s="409"/>
      <c r="BR112" s="409"/>
      <c r="BS112" s="409"/>
      <c r="BT112" s="409"/>
      <c r="BU112" s="409"/>
      <c r="BV112" s="409">
        <v>19356.862949612361</v>
      </c>
      <c r="BW112" s="409"/>
      <c r="BX112" s="409"/>
      <c r="BY112" s="409"/>
      <c r="BZ112" s="409"/>
      <c r="CA112" s="409"/>
      <c r="CB112" s="409"/>
      <c r="CC112" s="409"/>
      <c r="CD112" s="409"/>
      <c r="CE112" s="409"/>
      <c r="CF112" s="409"/>
      <c r="CG112" s="409"/>
      <c r="CH112" s="409"/>
      <c r="CI112" s="409">
        <v>53313.070999999996</v>
      </c>
      <c r="CJ112" s="409">
        <v>-5539.2338800000143</v>
      </c>
      <c r="CK112" s="409"/>
      <c r="CL112" s="409"/>
      <c r="CM112" s="409"/>
      <c r="CN112" s="409"/>
      <c r="CO112" s="409">
        <v>-6133.3897600000018</v>
      </c>
      <c r="CP112" s="409">
        <v>593.34847999999954</v>
      </c>
      <c r="CQ112" s="409">
        <v>31</v>
      </c>
      <c r="CR112" s="409">
        <v>1041.6197749791609</v>
      </c>
      <c r="CS112" s="409">
        <v>0</v>
      </c>
      <c r="CT112" s="409">
        <v>0</v>
      </c>
      <c r="CU112" s="409">
        <v>0</v>
      </c>
      <c r="CV112" s="409">
        <v>0</v>
      </c>
      <c r="CW112" s="409">
        <v>0</v>
      </c>
      <c r="CX112" s="409">
        <v>0</v>
      </c>
      <c r="CY112" s="409">
        <v>0</v>
      </c>
      <c r="CZ112" s="409">
        <v>307.67789854463263</v>
      </c>
      <c r="DA112" s="409">
        <v>0</v>
      </c>
      <c r="DB112" s="409">
        <v>0</v>
      </c>
      <c r="DC112" s="409">
        <v>780.80723546699664</v>
      </c>
      <c r="DD112" s="409">
        <v>0</v>
      </c>
      <c r="DE112" s="409">
        <v>0</v>
      </c>
      <c r="DF112" s="409">
        <v>0</v>
      </c>
      <c r="DG112" s="409">
        <v>105.92885127790487</v>
      </c>
      <c r="DH112" s="409">
        <v>0</v>
      </c>
      <c r="DI112" s="409">
        <v>-12.70857307293727</v>
      </c>
      <c r="DJ112" s="409"/>
      <c r="DK112" s="409">
        <v>0</v>
      </c>
      <c r="DL112" s="409">
        <v>0</v>
      </c>
      <c r="DM112" s="409">
        <v>0</v>
      </c>
      <c r="DN112" s="409">
        <v>0</v>
      </c>
      <c r="DO112" s="409">
        <v>-3.990462099033607</v>
      </c>
      <c r="DP112" s="409">
        <v>-7.0821373049822824</v>
      </c>
      <c r="DQ112" s="409">
        <v>0</v>
      </c>
      <c r="DR112" s="409">
        <v>-129.01303783341416</v>
      </c>
      <c r="DS112" s="409"/>
      <c r="DT112" s="409"/>
      <c r="DU112" s="409"/>
      <c r="DV112" s="409">
        <v>28715.161904552482</v>
      </c>
      <c r="DW112" s="409">
        <v>0</v>
      </c>
      <c r="DX112" s="409">
        <v>0</v>
      </c>
      <c r="DY112" s="409">
        <v>-6133.3897599999982</v>
      </c>
      <c r="DZ112" s="409">
        <v>593.34848000000056</v>
      </c>
      <c r="EA112" s="409">
        <v>0</v>
      </c>
      <c r="EB112" s="409">
        <v>0</v>
      </c>
      <c r="EC112" s="409">
        <v>-6582.1903294861077</v>
      </c>
      <c r="ED112" s="409">
        <v>0</v>
      </c>
      <c r="EE112" s="409">
        <v>0</v>
      </c>
      <c r="EF112" s="409">
        <v>0</v>
      </c>
      <c r="EG112" s="409">
        <v>0</v>
      </c>
      <c r="EH112" s="409">
        <v>0</v>
      </c>
      <c r="EI112" s="409">
        <v>0</v>
      </c>
      <c r="EJ112" s="409">
        <v>0</v>
      </c>
      <c r="EK112" s="409">
        <v>0</v>
      </c>
      <c r="EL112" s="409">
        <v>0</v>
      </c>
      <c r="EM112" s="409">
        <v>0</v>
      </c>
      <c r="EN112" s="409">
        <v>0</v>
      </c>
      <c r="EO112" s="409">
        <v>0</v>
      </c>
      <c r="EP112" s="409">
        <v>0</v>
      </c>
      <c r="EQ112" s="409">
        <v>0</v>
      </c>
      <c r="ER112" s="409">
        <v>0</v>
      </c>
      <c r="ES112" s="409">
        <v>0</v>
      </c>
      <c r="ET112" s="409">
        <v>0</v>
      </c>
      <c r="EU112" s="409">
        <v>0</v>
      </c>
      <c r="EV112" s="409">
        <v>254</v>
      </c>
      <c r="EW112" s="409">
        <v>0</v>
      </c>
      <c r="EX112" s="409">
        <v>0</v>
      </c>
      <c r="EY112" s="409">
        <v>0</v>
      </c>
      <c r="EZ112" s="409"/>
      <c r="FA112" s="409">
        <v>0</v>
      </c>
      <c r="FB112" s="409"/>
      <c r="FC112" s="409"/>
      <c r="FD112" s="409"/>
      <c r="FE112" s="409"/>
      <c r="FF112" s="409">
        <v>0</v>
      </c>
      <c r="FG112" s="409">
        <v>0</v>
      </c>
      <c r="FH112" s="409">
        <v>0</v>
      </c>
      <c r="FI112" s="409">
        <v>0</v>
      </c>
    </row>
    <row r="113" spans="1:165" s="874" customFormat="1">
      <c r="A113" s="409">
        <v>111</v>
      </c>
      <c r="B113" s="409" t="s">
        <v>1035</v>
      </c>
      <c r="C113" s="409" t="s">
        <v>2244</v>
      </c>
      <c r="D113" s="409" t="s">
        <v>1994</v>
      </c>
      <c r="E113" s="409" t="s">
        <v>1000</v>
      </c>
      <c r="F113" s="409" t="s">
        <v>2259</v>
      </c>
      <c r="G113" s="409" t="s">
        <v>1323</v>
      </c>
      <c r="H113" s="409" t="s">
        <v>1323</v>
      </c>
      <c r="I113" s="409" t="s">
        <v>1323</v>
      </c>
      <c r="J113" s="409" t="s">
        <v>2245</v>
      </c>
      <c r="K113" s="835">
        <v>44409</v>
      </c>
      <c r="L113" s="409">
        <v>0</v>
      </c>
      <c r="M113" s="409">
        <v>0</v>
      </c>
      <c r="N113" s="409">
        <v>55.654000000000003</v>
      </c>
      <c r="O113" s="409">
        <v>52.31476</v>
      </c>
      <c r="P113" s="409">
        <v>55.654000000000003</v>
      </c>
      <c r="Q113" s="409">
        <v>52.31476</v>
      </c>
      <c r="R113" s="409"/>
      <c r="S113" s="409">
        <v>597.01</v>
      </c>
      <c r="T113" s="409">
        <v>243.39</v>
      </c>
      <c r="U113" s="409"/>
      <c r="V113" s="409">
        <v>46771.621599999999</v>
      </c>
      <c r="W113" s="409">
        <v>46771.621599999999</v>
      </c>
      <c r="X113" s="409">
        <v>42368.277119999999</v>
      </c>
      <c r="Y113" s="409">
        <v>0</v>
      </c>
      <c r="Z113" s="409">
        <v>1384.8650548481073</v>
      </c>
      <c r="AA113" s="409">
        <v>0</v>
      </c>
      <c r="AB113" s="409">
        <v>0</v>
      </c>
      <c r="AC113" s="409">
        <v>0</v>
      </c>
      <c r="AD113" s="409">
        <v>6522.0402574474756</v>
      </c>
      <c r="AE113" s="409">
        <v>22820.284057151766</v>
      </c>
      <c r="AF113" s="409">
        <v>13545.473722169214</v>
      </c>
      <c r="AG113" s="409">
        <v>0</v>
      </c>
      <c r="AH113" s="409">
        <v>0</v>
      </c>
      <c r="AI113" s="409">
        <v>0</v>
      </c>
      <c r="AJ113" s="409">
        <v>0</v>
      </c>
      <c r="AK113" s="409">
        <v>0</v>
      </c>
      <c r="AL113" s="409">
        <v>565.39404079753513</v>
      </c>
      <c r="AM113" s="409"/>
      <c r="AN113" s="409">
        <v>95.550762017428809</v>
      </c>
      <c r="AO113" s="409">
        <v>0</v>
      </c>
      <c r="AP113" s="409">
        <v>0</v>
      </c>
      <c r="AQ113" s="409">
        <v>0</v>
      </c>
      <c r="AR113" s="409">
        <v>0</v>
      </c>
      <c r="AS113" s="409">
        <v>0</v>
      </c>
      <c r="AT113" s="409">
        <v>0</v>
      </c>
      <c r="AU113" s="409">
        <v>0</v>
      </c>
      <c r="AV113" s="409">
        <v>0</v>
      </c>
      <c r="AW113" s="409">
        <v>0</v>
      </c>
      <c r="AX113" s="409">
        <v>0</v>
      </c>
      <c r="AY113" s="409">
        <v>0</v>
      </c>
      <c r="AZ113" s="409">
        <v>0</v>
      </c>
      <c r="BA113" s="409"/>
      <c r="BB113" s="409">
        <v>0</v>
      </c>
      <c r="BC113" s="409">
        <v>0</v>
      </c>
      <c r="BD113" s="409">
        <v>0</v>
      </c>
      <c r="BE113" s="409">
        <v>0</v>
      </c>
      <c r="BF113" s="409">
        <v>0</v>
      </c>
      <c r="BG113" s="409">
        <v>1837.6577549853555</v>
      </c>
      <c r="BH113" s="409">
        <v>0</v>
      </c>
      <c r="BI113" s="409">
        <v>0</v>
      </c>
      <c r="BJ113" s="409">
        <v>0</v>
      </c>
      <c r="BK113" s="409">
        <v>0</v>
      </c>
      <c r="BL113" s="409">
        <v>9</v>
      </c>
      <c r="BM113" s="409"/>
      <c r="BN113" s="409"/>
      <c r="BO113" s="409"/>
      <c r="BP113" s="409"/>
      <c r="BQ113" s="409">
        <v>2542.0966272000028</v>
      </c>
      <c r="BR113" s="409"/>
      <c r="BS113" s="409"/>
      <c r="BT113" s="409"/>
      <c r="BU113" s="409"/>
      <c r="BV113" s="409">
        <v>15383.131477154569</v>
      </c>
      <c r="BW113" s="409"/>
      <c r="BX113" s="409"/>
      <c r="BY113" s="409"/>
      <c r="BZ113" s="409"/>
      <c r="CA113" s="409"/>
      <c r="CB113" s="409"/>
      <c r="CC113" s="409"/>
      <c r="CD113" s="409"/>
      <c r="CE113" s="409"/>
      <c r="CF113" s="409"/>
      <c r="CG113" s="409"/>
      <c r="CH113" s="409"/>
      <c r="CI113" s="409">
        <v>39822.556800000006</v>
      </c>
      <c r="CJ113" s="409">
        <v>-4142.7975039999947</v>
      </c>
      <c r="CK113" s="409"/>
      <c r="CL113" s="409"/>
      <c r="CM113" s="409"/>
      <c r="CN113" s="409"/>
      <c r="CO113" s="409">
        <v>-4874.1773199999998</v>
      </c>
      <c r="CP113" s="409">
        <v>470.83284000000049</v>
      </c>
      <c r="CQ113" s="409">
        <v>31</v>
      </c>
      <c r="CR113" s="409">
        <v>827.78774584598796</v>
      </c>
      <c r="CS113" s="409">
        <v>0</v>
      </c>
      <c r="CT113" s="409">
        <v>0</v>
      </c>
      <c r="CU113" s="409">
        <v>0</v>
      </c>
      <c r="CV113" s="409">
        <v>0</v>
      </c>
      <c r="CW113" s="409">
        <v>0</v>
      </c>
      <c r="CX113" s="409">
        <v>0</v>
      </c>
      <c r="CY113" s="409">
        <v>0</v>
      </c>
      <c r="CZ113" s="409">
        <v>244.5153214261818</v>
      </c>
      <c r="DA113" s="409">
        <v>0</v>
      </c>
      <c r="DB113" s="409">
        <v>0</v>
      </c>
      <c r="DC113" s="409">
        <v>620.51688813259534</v>
      </c>
      <c r="DD113" s="409">
        <v>0</v>
      </c>
      <c r="DE113" s="409">
        <v>0</v>
      </c>
      <c r="DF113" s="409">
        <v>0</v>
      </c>
      <c r="DG113" s="409">
        <v>84.182930399099405</v>
      </c>
      <c r="DH113" s="409">
        <v>0</v>
      </c>
      <c r="DI113" s="409">
        <v>-10.099655660986173</v>
      </c>
      <c r="DJ113" s="409"/>
      <c r="DK113" s="409">
        <v>0</v>
      </c>
      <c r="DL113" s="409">
        <v>0</v>
      </c>
      <c r="DM113" s="409">
        <v>0</v>
      </c>
      <c r="DN113" s="409">
        <v>0</v>
      </c>
      <c r="DO113" s="409">
        <v>-3.1712681586819826</v>
      </c>
      <c r="DP113" s="409">
        <v>-5.6282595782898994</v>
      </c>
      <c r="DQ113" s="409">
        <v>0</v>
      </c>
      <c r="DR113" s="409">
        <v>-102.52821071392984</v>
      </c>
      <c r="DS113" s="409"/>
      <c r="DT113" s="409"/>
      <c r="DU113" s="409"/>
      <c r="DV113" s="409">
        <v>22820.284057151766</v>
      </c>
      <c r="DW113" s="409">
        <v>0</v>
      </c>
      <c r="DX113" s="409">
        <v>0</v>
      </c>
      <c r="DY113" s="409">
        <v>-4874.1773199999989</v>
      </c>
      <c r="DZ113" s="409">
        <v>470.83283999999912</v>
      </c>
      <c r="EA113" s="409">
        <v>0</v>
      </c>
      <c r="EB113" s="409">
        <v>0</v>
      </c>
      <c r="EC113" s="409">
        <v>-5230.9457121081177</v>
      </c>
      <c r="ED113" s="409">
        <v>0</v>
      </c>
      <c r="EE113" s="409">
        <v>0</v>
      </c>
      <c r="EF113" s="409">
        <v>0</v>
      </c>
      <c r="EG113" s="409">
        <v>0</v>
      </c>
      <c r="EH113" s="409">
        <v>0</v>
      </c>
      <c r="EI113" s="409">
        <v>0</v>
      </c>
      <c r="EJ113" s="409">
        <v>0</v>
      </c>
      <c r="EK113" s="409">
        <v>0</v>
      </c>
      <c r="EL113" s="409">
        <v>0</v>
      </c>
      <c r="EM113" s="409">
        <v>0</v>
      </c>
      <c r="EN113" s="409">
        <v>0</v>
      </c>
      <c r="EO113" s="409">
        <v>0</v>
      </c>
      <c r="EP113" s="409">
        <v>0</v>
      </c>
      <c r="EQ113" s="409">
        <v>0</v>
      </c>
      <c r="ER113" s="409">
        <v>0</v>
      </c>
      <c r="ES113" s="409">
        <v>0</v>
      </c>
      <c r="ET113" s="409">
        <v>0</v>
      </c>
      <c r="EU113" s="409">
        <v>0</v>
      </c>
      <c r="EV113" s="409">
        <v>254</v>
      </c>
      <c r="EW113" s="409">
        <v>0</v>
      </c>
      <c r="EX113" s="409">
        <v>0</v>
      </c>
      <c r="EY113" s="409">
        <v>0</v>
      </c>
      <c r="EZ113" s="409"/>
      <c r="FA113" s="409">
        <v>0</v>
      </c>
      <c r="FB113" s="409"/>
      <c r="FC113" s="409"/>
      <c r="FD113" s="409"/>
      <c r="FE113" s="409"/>
      <c r="FF113" s="409">
        <v>0</v>
      </c>
      <c r="FG113" s="409">
        <v>0</v>
      </c>
      <c r="FH113" s="409">
        <v>0</v>
      </c>
      <c r="FI113" s="409">
        <v>0</v>
      </c>
    </row>
    <row r="114" spans="1:165" s="874" customFormat="1">
      <c r="A114" s="409">
        <v>112</v>
      </c>
      <c r="B114" s="409" t="s">
        <v>1035</v>
      </c>
      <c r="C114" s="409" t="s">
        <v>2244</v>
      </c>
      <c r="D114" s="409" t="s">
        <v>1994</v>
      </c>
      <c r="E114" s="409" t="s">
        <v>2260</v>
      </c>
      <c r="F114" s="409" t="s">
        <v>1323</v>
      </c>
      <c r="G114" s="409" t="s">
        <v>1323</v>
      </c>
      <c r="H114" s="409" t="s">
        <v>1323</v>
      </c>
      <c r="I114" s="409" t="s">
        <v>1323</v>
      </c>
      <c r="J114" s="409" t="s">
        <v>2245</v>
      </c>
      <c r="K114" s="835">
        <v>44409</v>
      </c>
      <c r="L114" s="409">
        <v>0</v>
      </c>
      <c r="M114" s="409">
        <v>0</v>
      </c>
      <c r="N114" s="409">
        <v>2.0830000000000002</v>
      </c>
      <c r="O114" s="409">
        <v>2.0830000000000002</v>
      </c>
      <c r="P114" s="409">
        <v>2.0830000000000002</v>
      </c>
      <c r="Q114" s="409">
        <v>2.0830000000000002</v>
      </c>
      <c r="R114" s="409"/>
      <c r="S114" s="409">
        <v>597.01</v>
      </c>
      <c r="T114" s="409">
        <v>243.39</v>
      </c>
      <c r="U114" s="409"/>
      <c r="V114" s="409">
        <v>1750.5532000000001</v>
      </c>
      <c r="W114" s="409">
        <v>1750.5532000000001</v>
      </c>
      <c r="X114" s="409">
        <v>1585.7462400000002</v>
      </c>
      <c r="Y114" s="409">
        <v>0</v>
      </c>
      <c r="Z114" s="409">
        <v>51.832283560006609</v>
      </c>
      <c r="AA114" s="409">
        <v>0</v>
      </c>
      <c r="AB114" s="409">
        <v>0</v>
      </c>
      <c r="AC114" s="409">
        <v>0</v>
      </c>
      <c r="AD114" s="409">
        <v>244.10482366520091</v>
      </c>
      <c r="AE114" s="409">
        <v>854.1102470810207</v>
      </c>
      <c r="AF114" s="409">
        <v>506.97563092102047</v>
      </c>
      <c r="AG114" s="409">
        <v>0</v>
      </c>
      <c r="AH114" s="409">
        <v>0</v>
      </c>
      <c r="AI114" s="409">
        <v>0</v>
      </c>
      <c r="AJ114" s="409">
        <v>0</v>
      </c>
      <c r="AK114" s="409">
        <v>0</v>
      </c>
      <c r="AL114" s="409">
        <v>21.161386189335278</v>
      </c>
      <c r="AM114" s="409"/>
      <c r="AN114" s="409">
        <v>3.5762431681874478</v>
      </c>
      <c r="AO114" s="409">
        <v>0</v>
      </c>
      <c r="AP114" s="409">
        <v>0</v>
      </c>
      <c r="AQ114" s="409">
        <v>0</v>
      </c>
      <c r="AR114" s="409">
        <v>0</v>
      </c>
      <c r="AS114" s="409">
        <v>0</v>
      </c>
      <c r="AT114" s="409">
        <v>0</v>
      </c>
      <c r="AU114" s="409">
        <v>0</v>
      </c>
      <c r="AV114" s="409">
        <v>0</v>
      </c>
      <c r="AW114" s="409">
        <v>0</v>
      </c>
      <c r="AX114" s="409">
        <v>0</v>
      </c>
      <c r="AY114" s="409">
        <v>0</v>
      </c>
      <c r="AZ114" s="409">
        <v>0</v>
      </c>
      <c r="BA114" s="409"/>
      <c r="BB114" s="409">
        <v>0</v>
      </c>
      <c r="BC114" s="409">
        <v>0</v>
      </c>
      <c r="BD114" s="409">
        <v>0</v>
      </c>
      <c r="BE114" s="409">
        <v>0</v>
      </c>
      <c r="BF114" s="409">
        <v>0</v>
      </c>
      <c r="BG114" s="409">
        <v>68.77926301136479</v>
      </c>
      <c r="BH114" s="409">
        <v>0</v>
      </c>
      <c r="BI114" s="409">
        <v>0</v>
      </c>
      <c r="BJ114" s="409">
        <v>0</v>
      </c>
      <c r="BK114" s="409">
        <v>594.49</v>
      </c>
      <c r="BL114" s="409">
        <v>3</v>
      </c>
      <c r="BM114" s="409"/>
      <c r="BN114" s="409"/>
      <c r="BO114" s="409"/>
      <c r="BP114" s="409"/>
      <c r="BQ114" s="409"/>
      <c r="BR114" s="409"/>
      <c r="BS114" s="409"/>
      <c r="BT114" s="409"/>
      <c r="BU114" s="409"/>
      <c r="BV114" s="409">
        <v>575.75489393238524</v>
      </c>
      <c r="BW114" s="409"/>
      <c r="BX114" s="409"/>
      <c r="BY114" s="409"/>
      <c r="BZ114" s="409"/>
      <c r="CA114" s="409"/>
      <c r="CB114" s="409"/>
      <c r="CC114" s="409"/>
      <c r="CD114" s="409"/>
      <c r="CE114" s="409"/>
      <c r="CF114" s="409"/>
      <c r="CG114" s="409"/>
      <c r="CH114" s="409"/>
      <c r="CI114" s="409">
        <v>1583.4624000000001</v>
      </c>
      <c r="CJ114" s="409">
        <v>-167.12079999999992</v>
      </c>
      <c r="CK114" s="409"/>
      <c r="CL114" s="409"/>
      <c r="CM114" s="409"/>
      <c r="CN114" s="409"/>
      <c r="CO114" s="409">
        <v>-182.42913999999999</v>
      </c>
      <c r="CP114" s="409">
        <v>17.622180000000018</v>
      </c>
      <c r="CQ114" s="409">
        <v>31</v>
      </c>
      <c r="CR114" s="409">
        <v>30.982173331605622</v>
      </c>
      <c r="CS114" s="409">
        <v>0</v>
      </c>
      <c r="CT114" s="409">
        <v>0</v>
      </c>
      <c r="CU114" s="409">
        <v>0</v>
      </c>
      <c r="CV114" s="409">
        <v>0</v>
      </c>
      <c r="CW114" s="409">
        <v>0</v>
      </c>
      <c r="CX114" s="409">
        <v>0</v>
      </c>
      <c r="CY114" s="409">
        <v>0</v>
      </c>
      <c r="CZ114" s="409">
        <v>9.1516407541369347</v>
      </c>
      <c r="DA114" s="409">
        <v>0</v>
      </c>
      <c r="DB114" s="409">
        <v>0</v>
      </c>
      <c r="DC114" s="409">
        <v>23.224506378341118</v>
      </c>
      <c r="DD114" s="409">
        <v>0</v>
      </c>
      <c r="DE114" s="409">
        <v>0</v>
      </c>
      <c r="DF114" s="409">
        <v>0</v>
      </c>
      <c r="DG114" s="409">
        <v>3.150771625064209</v>
      </c>
      <c r="DH114" s="409">
        <v>0</v>
      </c>
      <c r="DI114" s="409">
        <v>-0.37800666154875984</v>
      </c>
      <c r="DJ114" s="409"/>
      <c r="DK114" s="409">
        <v>0</v>
      </c>
      <c r="DL114" s="409">
        <v>0</v>
      </c>
      <c r="DM114" s="409">
        <v>0</v>
      </c>
      <c r="DN114" s="409">
        <v>0</v>
      </c>
      <c r="DO114" s="409">
        <v>-0.1186932039841615</v>
      </c>
      <c r="DP114" s="409">
        <v>-0.21065268806515025</v>
      </c>
      <c r="DQ114" s="409">
        <v>0</v>
      </c>
      <c r="DR114" s="409">
        <v>-3.8373928723383024</v>
      </c>
      <c r="DS114" s="409"/>
      <c r="DT114" s="409"/>
      <c r="DU114" s="409"/>
      <c r="DV114" s="409">
        <v>854.1102470810207</v>
      </c>
      <c r="DW114" s="409">
        <v>0</v>
      </c>
      <c r="DX114" s="409">
        <v>0</v>
      </c>
      <c r="DY114" s="409">
        <v>-182.42913999999996</v>
      </c>
      <c r="DZ114" s="409">
        <v>17.622180000000014</v>
      </c>
      <c r="EA114" s="409">
        <v>0</v>
      </c>
      <c r="EB114" s="409">
        <v>0</v>
      </c>
      <c r="EC114" s="409">
        <v>-195.78215255545342</v>
      </c>
      <c r="ED114" s="409">
        <v>0</v>
      </c>
      <c r="EE114" s="409">
        <v>0</v>
      </c>
      <c r="EF114" s="409">
        <v>0</v>
      </c>
      <c r="EG114" s="409">
        <v>0</v>
      </c>
      <c r="EH114" s="409">
        <v>0</v>
      </c>
      <c r="EI114" s="409">
        <v>0</v>
      </c>
      <c r="EJ114" s="409">
        <v>0</v>
      </c>
      <c r="EK114" s="409">
        <v>0</v>
      </c>
      <c r="EL114" s="409">
        <v>0</v>
      </c>
      <c r="EM114" s="409">
        <v>0</v>
      </c>
      <c r="EN114" s="409">
        <v>0</v>
      </c>
      <c r="EO114" s="409">
        <v>0</v>
      </c>
      <c r="EP114" s="409">
        <v>0</v>
      </c>
      <c r="EQ114" s="409">
        <v>0</v>
      </c>
      <c r="ER114" s="409">
        <v>0</v>
      </c>
      <c r="ES114" s="409">
        <v>0</v>
      </c>
      <c r="ET114" s="409">
        <v>0</v>
      </c>
      <c r="EU114" s="409">
        <v>0</v>
      </c>
      <c r="EV114" s="409">
        <v>254</v>
      </c>
      <c r="EW114" s="409">
        <v>0</v>
      </c>
      <c r="EX114" s="409">
        <v>0</v>
      </c>
      <c r="EY114" s="409">
        <v>0</v>
      </c>
      <c r="EZ114" s="409"/>
      <c r="FA114" s="409">
        <v>0</v>
      </c>
      <c r="FB114" s="409"/>
      <c r="FC114" s="409"/>
      <c r="FD114" s="409"/>
      <c r="FE114" s="409"/>
      <c r="FF114" s="409">
        <v>0</v>
      </c>
      <c r="FG114" s="409">
        <v>0</v>
      </c>
      <c r="FH114" s="409">
        <v>0</v>
      </c>
      <c r="FI114" s="409">
        <v>0</v>
      </c>
    </row>
    <row r="115" spans="1:165" s="874" customFormat="1">
      <c r="A115" s="409">
        <v>113</v>
      </c>
      <c r="B115" s="409" t="s">
        <v>1035</v>
      </c>
      <c r="C115" s="409" t="s">
        <v>2244</v>
      </c>
      <c r="D115" s="409" t="s">
        <v>2254</v>
      </c>
      <c r="E115" s="409" t="s">
        <v>973</v>
      </c>
      <c r="F115" s="409" t="s">
        <v>2261</v>
      </c>
      <c r="G115" s="409" t="s">
        <v>2262</v>
      </c>
      <c r="H115" s="409" t="s">
        <v>1323</v>
      </c>
      <c r="I115" s="409" t="s">
        <v>1323</v>
      </c>
      <c r="J115" s="409" t="s">
        <v>2245</v>
      </c>
      <c r="K115" s="835">
        <v>44409</v>
      </c>
      <c r="L115" s="409">
        <v>0</v>
      </c>
      <c r="M115" s="409">
        <v>0</v>
      </c>
      <c r="N115" s="409">
        <v>0</v>
      </c>
      <c r="O115" s="409">
        <v>0</v>
      </c>
      <c r="P115" s="409">
        <v>0</v>
      </c>
      <c r="Q115" s="409">
        <v>0</v>
      </c>
      <c r="R115" s="409"/>
      <c r="S115" s="409"/>
      <c r="T115" s="409"/>
      <c r="U115" s="409"/>
      <c r="V115" s="409"/>
      <c r="W115" s="409"/>
      <c r="X115" s="409"/>
      <c r="Y115" s="409"/>
      <c r="Z115" s="409"/>
      <c r="AA115" s="409">
        <v>0</v>
      </c>
      <c r="AB115" s="409"/>
      <c r="AC115" s="409"/>
      <c r="AD115" s="409"/>
      <c r="AE115" s="409"/>
      <c r="AF115" s="409"/>
      <c r="AG115" s="409"/>
      <c r="AH115" s="409"/>
      <c r="AI115" s="409"/>
      <c r="AJ115" s="409"/>
      <c r="AK115" s="409"/>
      <c r="AL115" s="409"/>
      <c r="AM115" s="409"/>
      <c r="AN115" s="409"/>
      <c r="AO115" s="409"/>
      <c r="AP115" s="409"/>
      <c r="AQ115" s="409"/>
      <c r="AR115" s="409"/>
      <c r="AS115" s="409"/>
      <c r="AT115" s="409"/>
      <c r="AU115" s="409"/>
      <c r="AV115" s="409"/>
      <c r="AW115" s="409"/>
      <c r="AX115" s="409"/>
      <c r="AY115" s="409"/>
      <c r="AZ115" s="409">
        <v>0</v>
      </c>
      <c r="BA115" s="409"/>
      <c r="BB115" s="409"/>
      <c r="BC115" s="409"/>
      <c r="BD115" s="409"/>
      <c r="BE115" s="409"/>
      <c r="BF115" s="409"/>
      <c r="BG115" s="409"/>
      <c r="BH115" s="409"/>
      <c r="BI115" s="409">
        <v>0</v>
      </c>
      <c r="BJ115" s="409">
        <v>0</v>
      </c>
      <c r="BK115" s="409">
        <v>0</v>
      </c>
      <c r="BL115" s="409">
        <v>7</v>
      </c>
      <c r="BM115" s="409"/>
      <c r="BN115" s="409"/>
      <c r="BO115" s="409"/>
      <c r="BP115" s="409"/>
      <c r="BQ115" s="409"/>
      <c r="BR115" s="409"/>
      <c r="BS115" s="409"/>
      <c r="BT115" s="409"/>
      <c r="BU115" s="409"/>
      <c r="BV115" s="409"/>
      <c r="BW115" s="409"/>
      <c r="BX115" s="409"/>
      <c r="BY115" s="409"/>
      <c r="BZ115" s="409"/>
      <c r="CA115" s="409"/>
      <c r="CB115" s="409"/>
      <c r="CC115" s="409"/>
      <c r="CD115" s="409"/>
      <c r="CE115" s="409"/>
      <c r="CF115" s="409"/>
      <c r="CG115" s="409"/>
      <c r="CH115" s="409"/>
      <c r="CI115" s="409"/>
      <c r="CJ115" s="409">
        <v>-0.03</v>
      </c>
      <c r="CK115" s="409"/>
      <c r="CL115" s="409"/>
      <c r="CM115" s="409"/>
      <c r="CN115" s="409"/>
      <c r="CO115" s="409">
        <v>0</v>
      </c>
      <c r="CP115" s="409">
        <v>0</v>
      </c>
      <c r="CQ115" s="409">
        <v>31</v>
      </c>
      <c r="CR115" s="409"/>
      <c r="CS115" s="409"/>
      <c r="CT115" s="409"/>
      <c r="CU115" s="409"/>
      <c r="CV115" s="409"/>
      <c r="CW115" s="409"/>
      <c r="CX115" s="409"/>
      <c r="CY115" s="409"/>
      <c r="CZ115" s="409"/>
      <c r="DA115" s="409"/>
      <c r="DB115" s="409"/>
      <c r="DC115" s="409"/>
      <c r="DD115" s="409"/>
      <c r="DE115" s="409"/>
      <c r="DF115" s="409"/>
      <c r="DG115" s="409"/>
      <c r="DH115" s="409"/>
      <c r="DI115" s="409"/>
      <c r="DJ115" s="409"/>
      <c r="DK115" s="409">
        <v>0</v>
      </c>
      <c r="DL115" s="409"/>
      <c r="DM115" s="409"/>
      <c r="DN115" s="409"/>
      <c r="DO115" s="409"/>
      <c r="DP115" s="409"/>
      <c r="DQ115" s="409"/>
      <c r="DR115" s="409"/>
      <c r="DS115" s="409"/>
      <c r="DT115" s="409"/>
      <c r="DU115" s="409"/>
      <c r="DV115" s="409"/>
      <c r="DW115" s="409"/>
      <c r="DX115" s="409"/>
      <c r="DY115" s="409"/>
      <c r="DZ115" s="409"/>
      <c r="EA115" s="409"/>
      <c r="EB115" s="409"/>
      <c r="EC115" s="409"/>
      <c r="ED115" s="409"/>
      <c r="EE115" s="409"/>
      <c r="EF115" s="409"/>
      <c r="EG115" s="409"/>
      <c r="EH115" s="409"/>
      <c r="EI115" s="409"/>
      <c r="EJ115" s="409"/>
      <c r="EK115" s="409"/>
      <c r="EL115" s="409"/>
      <c r="EM115" s="409"/>
      <c r="EN115" s="409"/>
      <c r="EO115" s="409"/>
      <c r="EP115" s="409"/>
      <c r="EQ115" s="409"/>
      <c r="ER115" s="409"/>
      <c r="ES115" s="409"/>
      <c r="ET115" s="409"/>
      <c r="EU115" s="409"/>
      <c r="EV115" s="409">
        <v>254</v>
      </c>
      <c r="EW115" s="409"/>
      <c r="EX115" s="409"/>
      <c r="EY115" s="409"/>
      <c r="EZ115" s="409"/>
      <c r="FA115" s="409">
        <v>0</v>
      </c>
      <c r="FB115" s="409"/>
      <c r="FC115" s="409"/>
      <c r="FD115" s="409"/>
      <c r="FE115" s="409"/>
      <c r="FF115" s="409">
        <v>0</v>
      </c>
      <c r="FG115" s="409">
        <v>0</v>
      </c>
      <c r="FH115" s="409">
        <v>0</v>
      </c>
      <c r="FI115" s="409">
        <v>0</v>
      </c>
    </row>
    <row r="116" spans="1:165" s="874" customFormat="1">
      <c r="A116" s="409">
        <v>114</v>
      </c>
      <c r="B116" s="409" t="s">
        <v>1035</v>
      </c>
      <c r="C116" s="409" t="s">
        <v>2244</v>
      </c>
      <c r="D116" s="409" t="s">
        <v>2254</v>
      </c>
      <c r="E116" s="409" t="s">
        <v>973</v>
      </c>
      <c r="F116" s="409" t="s">
        <v>2261</v>
      </c>
      <c r="G116" s="409" t="s">
        <v>2262</v>
      </c>
      <c r="H116" s="409" t="s">
        <v>1323</v>
      </c>
      <c r="I116" s="409" t="s">
        <v>1323</v>
      </c>
      <c r="J116" s="409" t="s">
        <v>2245</v>
      </c>
      <c r="K116" s="835">
        <v>44409</v>
      </c>
      <c r="L116" s="409">
        <v>0</v>
      </c>
      <c r="M116" s="409">
        <v>0</v>
      </c>
      <c r="N116" s="409">
        <v>1.48</v>
      </c>
      <c r="O116" s="409">
        <v>1.48</v>
      </c>
      <c r="P116" s="409">
        <v>1.48</v>
      </c>
      <c r="Q116" s="409">
        <v>1.48</v>
      </c>
      <c r="R116" s="409"/>
      <c r="S116" s="409">
        <v>597.01</v>
      </c>
      <c r="T116" s="409">
        <v>243.39</v>
      </c>
      <c r="U116" s="409"/>
      <c r="V116" s="409">
        <v>1243.7919999999999</v>
      </c>
      <c r="W116" s="409">
        <v>1243.7919999999999</v>
      </c>
      <c r="X116" s="409">
        <v>1126.6944000000001</v>
      </c>
      <c r="Y116" s="409">
        <v>0</v>
      </c>
      <c r="Z116" s="409">
        <v>36.827546648492451</v>
      </c>
      <c r="AA116" s="409">
        <v>0</v>
      </c>
      <c r="AB116" s="409">
        <v>0</v>
      </c>
      <c r="AC116" s="409">
        <v>0</v>
      </c>
      <c r="AD116" s="409">
        <v>173.43981710249511</v>
      </c>
      <c r="AE116" s="409">
        <v>606.85701664902092</v>
      </c>
      <c r="AF116" s="409">
        <v>360.21312230586182</v>
      </c>
      <c r="AG116" s="409">
        <v>0</v>
      </c>
      <c r="AH116" s="409">
        <v>0</v>
      </c>
      <c r="AI116" s="409">
        <v>0</v>
      </c>
      <c r="AJ116" s="409">
        <v>0</v>
      </c>
      <c r="AK116" s="409">
        <v>0</v>
      </c>
      <c r="AL116" s="409">
        <v>15.035454421611238</v>
      </c>
      <c r="AM116" s="409"/>
      <c r="AN116" s="409">
        <v>2.540969701832656</v>
      </c>
      <c r="AO116" s="409">
        <v>0</v>
      </c>
      <c r="AP116" s="409">
        <v>0</v>
      </c>
      <c r="AQ116" s="409">
        <v>0</v>
      </c>
      <c r="AR116" s="409">
        <v>0</v>
      </c>
      <c r="AS116" s="409">
        <v>0</v>
      </c>
      <c r="AT116" s="409">
        <v>0</v>
      </c>
      <c r="AU116" s="409">
        <v>0</v>
      </c>
      <c r="AV116" s="409">
        <v>0</v>
      </c>
      <c r="AW116" s="409">
        <v>0</v>
      </c>
      <c r="AX116" s="409">
        <v>0</v>
      </c>
      <c r="AY116" s="409">
        <v>0</v>
      </c>
      <c r="AZ116" s="409">
        <v>0</v>
      </c>
      <c r="BA116" s="409"/>
      <c r="BB116" s="409">
        <v>0</v>
      </c>
      <c r="BC116" s="409">
        <v>0</v>
      </c>
      <c r="BD116" s="409">
        <v>0</v>
      </c>
      <c r="BE116" s="409">
        <v>0</v>
      </c>
      <c r="BF116" s="409">
        <v>0</v>
      </c>
      <c r="BG116" s="409">
        <v>48.868607420460812</v>
      </c>
      <c r="BH116" s="409">
        <v>0</v>
      </c>
      <c r="BI116" s="409">
        <v>0</v>
      </c>
      <c r="BJ116" s="409">
        <v>0</v>
      </c>
      <c r="BK116" s="409">
        <v>0</v>
      </c>
      <c r="BL116" s="409">
        <v>0</v>
      </c>
      <c r="BM116" s="409"/>
      <c r="BN116" s="409"/>
      <c r="BO116" s="409"/>
      <c r="BP116" s="409"/>
      <c r="BQ116" s="409"/>
      <c r="BR116" s="409">
        <v>135.21279999999996</v>
      </c>
      <c r="BS116" s="409"/>
      <c r="BT116" s="409"/>
      <c r="BU116" s="409"/>
      <c r="BV116" s="409">
        <v>409.08172972632264</v>
      </c>
      <c r="BW116" s="409"/>
      <c r="BX116" s="409"/>
      <c r="BY116" s="409"/>
      <c r="BZ116" s="409"/>
      <c r="CA116" s="409"/>
      <c r="CB116" s="409"/>
      <c r="CC116" s="409"/>
      <c r="CD116" s="409"/>
      <c r="CE116" s="409"/>
      <c r="CF116" s="409"/>
      <c r="CG116" s="409"/>
      <c r="CH116" s="409"/>
      <c r="CI116" s="409">
        <v>991.48160000000007</v>
      </c>
      <c r="CJ116" s="409">
        <v>-103.08240000000001</v>
      </c>
      <c r="CK116" s="409"/>
      <c r="CL116" s="409"/>
      <c r="CM116" s="409"/>
      <c r="CN116" s="409"/>
      <c r="CO116" s="409">
        <v>-129.61839999999998</v>
      </c>
      <c r="CP116" s="409">
        <v>12.520800000000012</v>
      </c>
      <c r="CQ116" s="409">
        <v>31</v>
      </c>
      <c r="CR116" s="409">
        <v>22.013258056061773</v>
      </c>
      <c r="CS116" s="409">
        <v>0</v>
      </c>
      <c r="CT116" s="409">
        <v>0</v>
      </c>
      <c r="CU116" s="409">
        <v>0</v>
      </c>
      <c r="CV116" s="409">
        <v>0</v>
      </c>
      <c r="CW116" s="409">
        <v>0</v>
      </c>
      <c r="CX116" s="409">
        <v>0</v>
      </c>
      <c r="CY116" s="409">
        <v>0</v>
      </c>
      <c r="CZ116" s="409">
        <v>6.5023659702941359</v>
      </c>
      <c r="DA116" s="409">
        <v>0</v>
      </c>
      <c r="DB116" s="409">
        <v>0</v>
      </c>
      <c r="DC116" s="409">
        <v>16.501329543900567</v>
      </c>
      <c r="DD116" s="409">
        <v>0</v>
      </c>
      <c r="DE116" s="409">
        <v>0</v>
      </c>
      <c r="DF116" s="409">
        <v>0</v>
      </c>
      <c r="DG116" s="409">
        <v>2.238666349061468</v>
      </c>
      <c r="DH116" s="409">
        <v>0</v>
      </c>
      <c r="DI116" s="409">
        <v>-0.26857890498903458</v>
      </c>
      <c r="DJ116" s="409"/>
      <c r="DK116" s="409">
        <v>0</v>
      </c>
      <c r="DL116" s="409">
        <v>0</v>
      </c>
      <c r="DM116" s="409">
        <v>0</v>
      </c>
      <c r="DN116" s="409">
        <v>0</v>
      </c>
      <c r="DO116" s="409">
        <v>-8.4333145413614474E-2</v>
      </c>
      <c r="DP116" s="409">
        <v>-0.14967161706021237</v>
      </c>
      <c r="DQ116" s="409">
        <v>0</v>
      </c>
      <c r="DR116" s="409">
        <v>-2.7265201397314867</v>
      </c>
      <c r="DS116" s="409"/>
      <c r="DT116" s="409"/>
      <c r="DU116" s="409"/>
      <c r="DV116" s="409">
        <v>606.85701664902092</v>
      </c>
      <c r="DW116" s="409">
        <v>0</v>
      </c>
      <c r="DX116" s="409">
        <v>0</v>
      </c>
      <c r="DY116" s="409">
        <v>-129.61839999999995</v>
      </c>
      <c r="DZ116" s="409">
        <v>12.520800000000008</v>
      </c>
      <c r="EA116" s="409">
        <v>0</v>
      </c>
      <c r="EB116" s="409">
        <v>0</v>
      </c>
      <c r="EC116" s="409">
        <v>-139.10589811909313</v>
      </c>
      <c r="ED116" s="409">
        <v>0</v>
      </c>
      <c r="EE116" s="409">
        <v>0</v>
      </c>
      <c r="EF116" s="409">
        <v>0</v>
      </c>
      <c r="EG116" s="409">
        <v>0</v>
      </c>
      <c r="EH116" s="409">
        <v>0</v>
      </c>
      <c r="EI116" s="409">
        <v>0</v>
      </c>
      <c r="EJ116" s="409">
        <v>0</v>
      </c>
      <c r="EK116" s="409">
        <v>0</v>
      </c>
      <c r="EL116" s="409">
        <v>0</v>
      </c>
      <c r="EM116" s="409">
        <v>0</v>
      </c>
      <c r="EN116" s="409">
        <v>0</v>
      </c>
      <c r="EO116" s="409">
        <v>0</v>
      </c>
      <c r="EP116" s="409">
        <v>0</v>
      </c>
      <c r="EQ116" s="409">
        <v>0</v>
      </c>
      <c r="ER116" s="409">
        <v>0</v>
      </c>
      <c r="ES116" s="409">
        <v>0</v>
      </c>
      <c r="ET116" s="409">
        <v>0</v>
      </c>
      <c r="EU116" s="409">
        <v>0</v>
      </c>
      <c r="EV116" s="409">
        <v>254</v>
      </c>
      <c r="EW116" s="409">
        <v>0</v>
      </c>
      <c r="EX116" s="409">
        <v>0</v>
      </c>
      <c r="EY116" s="409">
        <v>0</v>
      </c>
      <c r="EZ116" s="409"/>
      <c r="FA116" s="409">
        <v>0</v>
      </c>
      <c r="FB116" s="409"/>
      <c r="FC116" s="409"/>
      <c r="FD116" s="409"/>
      <c r="FE116" s="409"/>
      <c r="FF116" s="409">
        <v>0</v>
      </c>
      <c r="FG116" s="409">
        <v>0</v>
      </c>
      <c r="FH116" s="409">
        <v>0</v>
      </c>
      <c r="FI116" s="409">
        <v>0</v>
      </c>
    </row>
    <row r="117" spans="1:165" s="874" customFormat="1">
      <c r="A117" s="409">
        <v>115</v>
      </c>
      <c r="B117" s="409" t="s">
        <v>1035</v>
      </c>
      <c r="C117" s="409" t="s">
        <v>2244</v>
      </c>
      <c r="D117" s="409" t="s">
        <v>2254</v>
      </c>
      <c r="E117" s="409" t="s">
        <v>973</v>
      </c>
      <c r="F117" s="409" t="s">
        <v>2261</v>
      </c>
      <c r="G117" s="409" t="s">
        <v>2263</v>
      </c>
      <c r="H117" s="409" t="s">
        <v>1323</v>
      </c>
      <c r="I117" s="409" t="s">
        <v>1323</v>
      </c>
      <c r="J117" s="409" t="s">
        <v>2245</v>
      </c>
      <c r="K117" s="835">
        <v>44409</v>
      </c>
      <c r="L117" s="409">
        <v>0</v>
      </c>
      <c r="M117" s="409">
        <v>0</v>
      </c>
      <c r="N117" s="409">
        <v>0.66600000000000004</v>
      </c>
      <c r="O117" s="409">
        <v>0.17982000000000001</v>
      </c>
      <c r="P117" s="409">
        <v>0.66600000000000004</v>
      </c>
      <c r="Q117" s="409">
        <v>0.17982000000000001</v>
      </c>
      <c r="R117" s="409"/>
      <c r="S117" s="409">
        <v>597.01</v>
      </c>
      <c r="T117" s="409">
        <v>243.39</v>
      </c>
      <c r="U117" s="409"/>
      <c r="V117" s="409">
        <v>559.70640000000003</v>
      </c>
      <c r="W117" s="409">
        <v>559.70640000000003</v>
      </c>
      <c r="X117" s="409">
        <v>507.01248000000004</v>
      </c>
      <c r="Y117" s="409">
        <v>0</v>
      </c>
      <c r="Z117" s="409">
        <v>16.572395991821605</v>
      </c>
      <c r="AA117" s="409">
        <v>0</v>
      </c>
      <c r="AB117" s="409">
        <v>0</v>
      </c>
      <c r="AC117" s="409">
        <v>0</v>
      </c>
      <c r="AD117" s="409">
        <v>78.047917696122809</v>
      </c>
      <c r="AE117" s="409">
        <v>273.08565749205945</v>
      </c>
      <c r="AF117" s="409">
        <v>162.09590503763783</v>
      </c>
      <c r="AG117" s="409">
        <v>0</v>
      </c>
      <c r="AH117" s="409">
        <v>0</v>
      </c>
      <c r="AI117" s="409">
        <v>0</v>
      </c>
      <c r="AJ117" s="409">
        <v>0</v>
      </c>
      <c r="AK117" s="409">
        <v>0</v>
      </c>
      <c r="AL117" s="409">
        <v>6.7659544897250576</v>
      </c>
      <c r="AM117" s="409"/>
      <c r="AN117" s="409">
        <v>1.1434363658246953</v>
      </c>
      <c r="AO117" s="409">
        <v>0</v>
      </c>
      <c r="AP117" s="409">
        <v>0</v>
      </c>
      <c r="AQ117" s="409">
        <v>0</v>
      </c>
      <c r="AR117" s="409">
        <v>0</v>
      </c>
      <c r="AS117" s="409">
        <v>0</v>
      </c>
      <c r="AT117" s="409">
        <v>0</v>
      </c>
      <c r="AU117" s="409">
        <v>0</v>
      </c>
      <c r="AV117" s="409">
        <v>0</v>
      </c>
      <c r="AW117" s="409">
        <v>0</v>
      </c>
      <c r="AX117" s="409">
        <v>0</v>
      </c>
      <c r="AY117" s="409">
        <v>0</v>
      </c>
      <c r="AZ117" s="409">
        <v>0</v>
      </c>
      <c r="BA117" s="409"/>
      <c r="BB117" s="409">
        <v>0</v>
      </c>
      <c r="BC117" s="409">
        <v>0</v>
      </c>
      <c r="BD117" s="409">
        <v>0</v>
      </c>
      <c r="BE117" s="409">
        <v>0</v>
      </c>
      <c r="BF117" s="409">
        <v>0</v>
      </c>
      <c r="BG117" s="409">
        <v>21.990873339207369</v>
      </c>
      <c r="BH117" s="409">
        <v>0</v>
      </c>
      <c r="BI117" s="409">
        <v>0</v>
      </c>
      <c r="BJ117" s="409">
        <v>0</v>
      </c>
      <c r="BK117" s="409">
        <v>0</v>
      </c>
      <c r="BL117" s="409">
        <v>0</v>
      </c>
      <c r="BM117" s="409"/>
      <c r="BN117" s="409"/>
      <c r="BO117" s="409"/>
      <c r="BP117" s="409"/>
      <c r="BQ117" s="409"/>
      <c r="BR117" s="409"/>
      <c r="BS117" s="409">
        <v>386.54746560000001</v>
      </c>
      <c r="BT117" s="409"/>
      <c r="BU117" s="409"/>
      <c r="BV117" s="409">
        <v>184.08677837684519</v>
      </c>
      <c r="BW117" s="409"/>
      <c r="BX117" s="409"/>
      <c r="BY117" s="409"/>
      <c r="BZ117" s="409"/>
      <c r="CA117" s="409"/>
      <c r="CB117" s="409"/>
      <c r="CC117" s="409"/>
      <c r="CD117" s="409"/>
      <c r="CE117" s="409"/>
      <c r="CF117" s="409"/>
      <c r="CG117" s="409"/>
      <c r="CH117" s="409"/>
      <c r="CI117" s="409">
        <v>120.5856</v>
      </c>
      <c r="CJ117" s="409">
        <v>-12.430281000000008</v>
      </c>
      <c r="CK117" s="409"/>
      <c r="CL117" s="409"/>
      <c r="CM117" s="409"/>
      <c r="CN117" s="409"/>
      <c r="CO117" s="409">
        <v>-58.328279999999992</v>
      </c>
      <c r="CP117" s="409">
        <v>5.6343600000000054</v>
      </c>
      <c r="CQ117" s="409">
        <v>31</v>
      </c>
      <c r="CR117" s="409">
        <v>9.905966125227792</v>
      </c>
      <c r="CS117" s="409">
        <v>0</v>
      </c>
      <c r="CT117" s="409">
        <v>0</v>
      </c>
      <c r="CU117" s="409">
        <v>0</v>
      </c>
      <c r="CV117" s="409">
        <v>0</v>
      </c>
      <c r="CW117" s="409">
        <v>0</v>
      </c>
      <c r="CX117" s="409">
        <v>0</v>
      </c>
      <c r="CY117" s="409">
        <v>0</v>
      </c>
      <c r="CZ117" s="409">
        <v>2.9260646866323583</v>
      </c>
      <c r="DA117" s="409">
        <v>0</v>
      </c>
      <c r="DB117" s="409">
        <v>0</v>
      </c>
      <c r="DC117" s="409">
        <v>7.4255982947552468</v>
      </c>
      <c r="DD117" s="409">
        <v>0</v>
      </c>
      <c r="DE117" s="409">
        <v>0</v>
      </c>
      <c r="DF117" s="409">
        <v>0</v>
      </c>
      <c r="DG117" s="409">
        <v>1.0073998570776581</v>
      </c>
      <c r="DH117" s="409">
        <v>0</v>
      </c>
      <c r="DI117" s="409">
        <v>-0.12086050724506592</v>
      </c>
      <c r="DJ117" s="409"/>
      <c r="DK117" s="409">
        <v>0</v>
      </c>
      <c r="DL117" s="409">
        <v>0</v>
      </c>
      <c r="DM117" s="409">
        <v>0</v>
      </c>
      <c r="DN117" s="409">
        <v>0</v>
      </c>
      <c r="DO117" s="409">
        <v>-3.7949915436127135E-2</v>
      </c>
      <c r="DP117" s="409">
        <v>-6.73522276770957E-2</v>
      </c>
      <c r="DQ117" s="409">
        <v>0</v>
      </c>
      <c r="DR117" s="409">
        <v>-1.226934062879169</v>
      </c>
      <c r="DS117" s="409"/>
      <c r="DT117" s="409"/>
      <c r="DU117" s="409"/>
      <c r="DV117" s="409">
        <v>273.08565749205945</v>
      </c>
      <c r="DW117" s="409">
        <v>0</v>
      </c>
      <c r="DX117" s="409">
        <v>0</v>
      </c>
      <c r="DY117" s="409">
        <v>-58.328280000000007</v>
      </c>
      <c r="DZ117" s="409">
        <v>5.6343600000000151</v>
      </c>
      <c r="EA117" s="409">
        <v>0</v>
      </c>
      <c r="EB117" s="409">
        <v>0</v>
      </c>
      <c r="EC117" s="409">
        <v>-62.597654153591947</v>
      </c>
      <c r="ED117" s="409">
        <v>0</v>
      </c>
      <c r="EE117" s="409">
        <v>0</v>
      </c>
      <c r="EF117" s="409">
        <v>0</v>
      </c>
      <c r="EG117" s="409">
        <v>0</v>
      </c>
      <c r="EH117" s="409">
        <v>0</v>
      </c>
      <c r="EI117" s="409">
        <v>0</v>
      </c>
      <c r="EJ117" s="409">
        <v>0</v>
      </c>
      <c r="EK117" s="409">
        <v>0</v>
      </c>
      <c r="EL117" s="409">
        <v>0</v>
      </c>
      <c r="EM117" s="409">
        <v>0</v>
      </c>
      <c r="EN117" s="409">
        <v>0</v>
      </c>
      <c r="EO117" s="409">
        <v>0</v>
      </c>
      <c r="EP117" s="409">
        <v>0</v>
      </c>
      <c r="EQ117" s="409">
        <v>0</v>
      </c>
      <c r="ER117" s="409">
        <v>0</v>
      </c>
      <c r="ES117" s="409">
        <v>0</v>
      </c>
      <c r="ET117" s="409">
        <v>0</v>
      </c>
      <c r="EU117" s="409">
        <v>0</v>
      </c>
      <c r="EV117" s="409">
        <v>254</v>
      </c>
      <c r="EW117" s="409">
        <v>0</v>
      </c>
      <c r="EX117" s="409">
        <v>0</v>
      </c>
      <c r="EY117" s="409">
        <v>0</v>
      </c>
      <c r="EZ117" s="409"/>
      <c r="FA117" s="409">
        <v>0</v>
      </c>
      <c r="FB117" s="409"/>
      <c r="FC117" s="409"/>
      <c r="FD117" s="409"/>
      <c r="FE117" s="409"/>
      <c r="FF117" s="409">
        <v>0</v>
      </c>
      <c r="FG117" s="409">
        <v>0</v>
      </c>
      <c r="FH117" s="409">
        <v>0</v>
      </c>
      <c r="FI117" s="409">
        <v>0</v>
      </c>
    </row>
    <row r="118" spans="1:165" s="874" customFormat="1">
      <c r="A118" s="409">
        <v>116</v>
      </c>
      <c r="B118" s="409" t="s">
        <v>1035</v>
      </c>
      <c r="C118" s="409" t="s">
        <v>2244</v>
      </c>
      <c r="D118" s="409" t="s">
        <v>1991</v>
      </c>
      <c r="E118" s="409" t="s">
        <v>968</v>
      </c>
      <c r="F118" s="409" t="s">
        <v>968</v>
      </c>
      <c r="G118" s="409" t="s">
        <v>1323</v>
      </c>
      <c r="H118" s="409" t="s">
        <v>1323</v>
      </c>
      <c r="I118" s="409" t="s">
        <v>1323</v>
      </c>
      <c r="J118" s="409" t="s">
        <v>2245</v>
      </c>
      <c r="K118" s="835">
        <v>44440</v>
      </c>
      <c r="L118" s="409">
        <v>0</v>
      </c>
      <c r="M118" s="409">
        <v>0</v>
      </c>
      <c r="N118" s="409">
        <v>199.905</v>
      </c>
      <c r="O118" s="409">
        <v>199.905</v>
      </c>
      <c r="P118" s="409">
        <v>199.905</v>
      </c>
      <c r="Q118" s="409">
        <v>199.905</v>
      </c>
      <c r="R118" s="409"/>
      <c r="S118" s="409">
        <v>597.01</v>
      </c>
      <c r="T118" s="409">
        <v>243.39</v>
      </c>
      <c r="U118" s="409"/>
      <c r="V118" s="409">
        <v>168000.16200000001</v>
      </c>
      <c r="W118" s="409">
        <v>168000.16200000001</v>
      </c>
      <c r="X118" s="409">
        <v>152183.6784</v>
      </c>
      <c r="Y118" s="409">
        <v>0</v>
      </c>
      <c r="Z118" s="409">
        <v>4974.331562680326</v>
      </c>
      <c r="AA118" s="409">
        <v>0</v>
      </c>
      <c r="AB118" s="409">
        <v>0</v>
      </c>
      <c r="AC118" s="409">
        <v>0</v>
      </c>
      <c r="AD118" s="409">
        <v>23426.680160725871</v>
      </c>
      <c r="AE118" s="409">
        <v>81968.75129271792</v>
      </c>
      <c r="AF118" s="409">
        <v>48654.327171995479</v>
      </c>
      <c r="AG118" s="409">
        <v>0</v>
      </c>
      <c r="AH118" s="409">
        <v>0</v>
      </c>
      <c r="AI118" s="409">
        <v>0</v>
      </c>
      <c r="AJ118" s="409">
        <v>0</v>
      </c>
      <c r="AK118" s="409">
        <v>0</v>
      </c>
      <c r="AL118" s="409">
        <v>2030.8530514541856</v>
      </c>
      <c r="AM118" s="409"/>
      <c r="AN118" s="409">
        <v>343.21118124652509</v>
      </c>
      <c r="AO118" s="409">
        <v>0</v>
      </c>
      <c r="AP118" s="409">
        <v>0</v>
      </c>
      <c r="AQ118" s="409">
        <v>0</v>
      </c>
      <c r="AR118" s="409">
        <v>0</v>
      </c>
      <c r="AS118" s="409">
        <v>0</v>
      </c>
      <c r="AT118" s="409">
        <v>0</v>
      </c>
      <c r="AU118" s="409">
        <v>0</v>
      </c>
      <c r="AV118" s="409">
        <v>0</v>
      </c>
      <c r="AW118" s="409">
        <v>0</v>
      </c>
      <c r="AX118" s="409">
        <v>0</v>
      </c>
      <c r="AY118" s="409">
        <v>0</v>
      </c>
      <c r="AZ118" s="409">
        <v>0</v>
      </c>
      <c r="BA118" s="409"/>
      <c r="BB118" s="409">
        <v>0</v>
      </c>
      <c r="BC118" s="409">
        <v>0</v>
      </c>
      <c r="BD118" s="409">
        <v>0</v>
      </c>
      <c r="BE118" s="409">
        <v>0</v>
      </c>
      <c r="BF118" s="409">
        <v>0</v>
      </c>
      <c r="BG118" s="409">
        <v>6600.7290313427156</v>
      </c>
      <c r="BH118" s="409">
        <v>0</v>
      </c>
      <c r="BI118" s="409">
        <v>46.42</v>
      </c>
      <c r="BJ118" s="409">
        <v>214.26</v>
      </c>
      <c r="BK118" s="409">
        <v>1667.49</v>
      </c>
      <c r="BL118" s="409">
        <v>2018</v>
      </c>
      <c r="BM118" s="409"/>
      <c r="BN118" s="409"/>
      <c r="BO118" s="409"/>
      <c r="BP118" s="409"/>
      <c r="BQ118" s="409"/>
      <c r="BR118" s="409"/>
      <c r="BS118" s="409"/>
      <c r="BT118" s="409"/>
      <c r="BU118" s="409"/>
      <c r="BV118" s="409">
        <v>55255.056203338194</v>
      </c>
      <c r="BW118" s="409"/>
      <c r="BX118" s="409"/>
      <c r="BY118" s="409"/>
      <c r="BZ118" s="409"/>
      <c r="CA118" s="409"/>
      <c r="CB118" s="409"/>
      <c r="CC118" s="409"/>
      <c r="CD118" s="409"/>
      <c r="CE118" s="409"/>
      <c r="CF118" s="409"/>
      <c r="CG118" s="409"/>
      <c r="CH118" s="409"/>
      <c r="CI118" s="409">
        <v>152187.48480000001</v>
      </c>
      <c r="CJ118" s="409">
        <v>-15812.707199999975</v>
      </c>
      <c r="CK118" s="409"/>
      <c r="CL118" s="409"/>
      <c r="CM118" s="409"/>
      <c r="CN118" s="409"/>
      <c r="CO118" s="409">
        <v>-17507.679899999996</v>
      </c>
      <c r="CP118" s="409">
        <v>1691.1963000000017</v>
      </c>
      <c r="CQ118" s="409">
        <v>30</v>
      </c>
      <c r="CR118" s="409">
        <v>2973.3515889844566</v>
      </c>
      <c r="CS118" s="409">
        <v>0</v>
      </c>
      <c r="CT118" s="409">
        <v>0</v>
      </c>
      <c r="CU118" s="409">
        <v>0</v>
      </c>
      <c r="CV118" s="409">
        <v>0</v>
      </c>
      <c r="CW118" s="409">
        <v>0</v>
      </c>
      <c r="CX118" s="409">
        <v>0</v>
      </c>
      <c r="CY118" s="409">
        <v>0</v>
      </c>
      <c r="CZ118" s="409">
        <v>878.28072249435354</v>
      </c>
      <c r="DA118" s="409">
        <v>0</v>
      </c>
      <c r="DB118" s="409">
        <v>0</v>
      </c>
      <c r="DC118" s="409">
        <v>2228.8501908604303</v>
      </c>
      <c r="DD118" s="409">
        <v>0</v>
      </c>
      <c r="DE118" s="409">
        <v>0</v>
      </c>
      <c r="DF118" s="409">
        <v>0</v>
      </c>
      <c r="DG118" s="409">
        <v>302.37878142508907</v>
      </c>
      <c r="DH118" s="409">
        <v>0</v>
      </c>
      <c r="DI118" s="409">
        <v>-36.277206757994463</v>
      </c>
      <c r="DJ118" s="409"/>
      <c r="DK118" s="409">
        <v>0</v>
      </c>
      <c r="DL118" s="409">
        <v>0</v>
      </c>
      <c r="DM118" s="409">
        <v>0</v>
      </c>
      <c r="DN118" s="409">
        <v>0</v>
      </c>
      <c r="DO118" s="409">
        <v>-11.390957725614044</v>
      </c>
      <c r="DP118" s="409">
        <v>-20.216286897582279</v>
      </c>
      <c r="DQ118" s="409">
        <v>0</v>
      </c>
      <c r="DR118" s="409">
        <v>-368.27365441420466</v>
      </c>
      <c r="DS118" s="409"/>
      <c r="DT118" s="409"/>
      <c r="DU118" s="409"/>
      <c r="DV118" s="409">
        <v>81968.75129271792</v>
      </c>
      <c r="DW118" s="409">
        <v>0</v>
      </c>
      <c r="DX118" s="409">
        <v>0</v>
      </c>
      <c r="DY118" s="409">
        <v>-17507.679900000003</v>
      </c>
      <c r="DZ118" s="409">
        <v>1691.1963000000032</v>
      </c>
      <c r="EA118" s="409">
        <v>0</v>
      </c>
      <c r="EB118" s="409">
        <v>0</v>
      </c>
      <c r="EC118" s="409">
        <v>-18789.165245606287</v>
      </c>
      <c r="ED118" s="409">
        <v>0</v>
      </c>
      <c r="EE118" s="409">
        <v>0</v>
      </c>
      <c r="EF118" s="409">
        <v>0</v>
      </c>
      <c r="EG118" s="409">
        <v>0</v>
      </c>
      <c r="EH118" s="409">
        <v>0</v>
      </c>
      <c r="EI118" s="409">
        <v>0</v>
      </c>
      <c r="EJ118" s="409">
        <v>0</v>
      </c>
      <c r="EK118" s="409">
        <v>0</v>
      </c>
      <c r="EL118" s="409">
        <v>0</v>
      </c>
      <c r="EM118" s="409">
        <v>0</v>
      </c>
      <c r="EN118" s="409">
        <v>0</v>
      </c>
      <c r="EO118" s="409">
        <v>0</v>
      </c>
      <c r="EP118" s="409">
        <v>0</v>
      </c>
      <c r="EQ118" s="409">
        <v>0</v>
      </c>
      <c r="ER118" s="409">
        <v>0</v>
      </c>
      <c r="ES118" s="409">
        <v>0</v>
      </c>
      <c r="ET118" s="409">
        <v>0</v>
      </c>
      <c r="EU118" s="409">
        <v>0</v>
      </c>
      <c r="EV118" s="409">
        <v>254</v>
      </c>
      <c r="EW118" s="409">
        <v>0</v>
      </c>
      <c r="EX118" s="409">
        <v>0</v>
      </c>
      <c r="EY118" s="409">
        <v>0</v>
      </c>
      <c r="EZ118" s="409"/>
      <c r="FA118" s="409">
        <v>0</v>
      </c>
      <c r="FB118" s="409"/>
      <c r="FC118" s="409"/>
      <c r="FD118" s="409"/>
      <c r="FE118" s="409"/>
      <c r="FF118" s="409">
        <v>0</v>
      </c>
      <c r="FG118" s="409">
        <v>0</v>
      </c>
      <c r="FH118" s="409">
        <v>0</v>
      </c>
      <c r="FI118" s="409">
        <v>0</v>
      </c>
    </row>
    <row r="119" spans="1:165" s="874" customFormat="1">
      <c r="A119" s="409">
        <v>117</v>
      </c>
      <c r="B119" s="409" t="s">
        <v>2246</v>
      </c>
      <c r="C119" s="409" t="s">
        <v>2244</v>
      </c>
      <c r="D119" s="409" t="s">
        <v>1991</v>
      </c>
      <c r="E119" s="409" t="s">
        <v>968</v>
      </c>
      <c r="F119" s="409" t="s">
        <v>968</v>
      </c>
      <c r="G119" s="409" t="s">
        <v>1323</v>
      </c>
      <c r="H119" s="409" t="s">
        <v>1323</v>
      </c>
      <c r="I119" s="409" t="s">
        <v>1323</v>
      </c>
      <c r="J119" s="409" t="s">
        <v>2245</v>
      </c>
      <c r="K119" s="835">
        <v>44440</v>
      </c>
      <c r="L119" s="409">
        <v>0</v>
      </c>
      <c r="M119" s="409">
        <v>0</v>
      </c>
      <c r="N119" s="409">
        <v>2.1659999999999999</v>
      </c>
      <c r="O119" s="409">
        <v>2.1659999999999999</v>
      </c>
      <c r="P119" s="409">
        <v>2.1659999999999999</v>
      </c>
      <c r="Q119" s="409">
        <v>2.1659999999999999</v>
      </c>
      <c r="R119" s="409"/>
      <c r="S119" s="409">
        <v>597.01</v>
      </c>
      <c r="T119" s="409">
        <v>243.39</v>
      </c>
      <c r="U119" s="409"/>
      <c r="V119" s="409">
        <v>1820.3063999999999</v>
      </c>
      <c r="W119" s="409">
        <v>1820.3063999999999</v>
      </c>
      <c r="X119" s="409">
        <v>1648.9324799999999</v>
      </c>
      <c r="Y119" s="409">
        <v>0</v>
      </c>
      <c r="Z119" s="409">
        <v>53.897612189618002</v>
      </c>
      <c r="AA119" s="409">
        <v>0</v>
      </c>
      <c r="AB119" s="409">
        <v>0</v>
      </c>
      <c r="AC119" s="409">
        <v>0</v>
      </c>
      <c r="AD119" s="409">
        <v>253.83151611081379</v>
      </c>
      <c r="AE119" s="409">
        <v>888.14344463633734</v>
      </c>
      <c r="AF119" s="409">
        <v>527.17677223952478</v>
      </c>
      <c r="AG119" s="409">
        <v>0</v>
      </c>
      <c r="AH119" s="409">
        <v>0</v>
      </c>
      <c r="AI119" s="409">
        <v>0</v>
      </c>
      <c r="AJ119" s="409">
        <v>0</v>
      </c>
      <c r="AK119" s="409">
        <v>0</v>
      </c>
      <c r="AL119" s="409">
        <v>22.004590727844555</v>
      </c>
      <c r="AM119" s="409"/>
      <c r="AN119" s="409">
        <v>3.7187434960604948</v>
      </c>
      <c r="AO119" s="409">
        <v>0</v>
      </c>
      <c r="AP119" s="409">
        <v>0</v>
      </c>
      <c r="AQ119" s="409">
        <v>0</v>
      </c>
      <c r="AR119" s="409">
        <v>0</v>
      </c>
      <c r="AS119" s="409">
        <v>0</v>
      </c>
      <c r="AT119" s="409">
        <v>0</v>
      </c>
      <c r="AU119" s="409">
        <v>0</v>
      </c>
      <c r="AV119" s="409">
        <v>0</v>
      </c>
      <c r="AW119" s="409">
        <v>0</v>
      </c>
      <c r="AX119" s="409">
        <v>0</v>
      </c>
      <c r="AY119" s="409">
        <v>0</v>
      </c>
      <c r="AZ119" s="409">
        <v>0</v>
      </c>
      <c r="BA119" s="409"/>
      <c r="BB119" s="409">
        <v>0</v>
      </c>
      <c r="BC119" s="409">
        <v>0</v>
      </c>
      <c r="BD119" s="409">
        <v>0</v>
      </c>
      <c r="BE119" s="409">
        <v>0</v>
      </c>
      <c r="BF119" s="409">
        <v>0</v>
      </c>
      <c r="BG119" s="409">
        <v>71.519867346431155</v>
      </c>
      <c r="BH119" s="409">
        <v>0</v>
      </c>
      <c r="BI119" s="409">
        <v>0</v>
      </c>
      <c r="BJ119" s="409">
        <v>0</v>
      </c>
      <c r="BK119" s="409">
        <v>0</v>
      </c>
      <c r="BL119" s="409">
        <v>11</v>
      </c>
      <c r="BM119" s="409"/>
      <c r="BN119" s="409"/>
      <c r="BO119" s="409"/>
      <c r="BP119" s="409"/>
      <c r="BQ119" s="409"/>
      <c r="BR119" s="409"/>
      <c r="BS119" s="409"/>
      <c r="BT119" s="409"/>
      <c r="BU119" s="409"/>
      <c r="BV119" s="409">
        <v>598.69663958595595</v>
      </c>
      <c r="BW119" s="409"/>
      <c r="BX119" s="409"/>
      <c r="BY119" s="409"/>
      <c r="BZ119" s="409"/>
      <c r="CA119" s="409"/>
      <c r="CB119" s="409"/>
      <c r="CC119" s="409"/>
      <c r="CD119" s="409"/>
      <c r="CE119" s="409"/>
      <c r="CF119" s="409"/>
      <c r="CG119" s="409"/>
      <c r="CH119" s="409"/>
      <c r="CI119" s="409">
        <v>1651.9775999999999</v>
      </c>
      <c r="CJ119" s="409">
        <v>-168.35879999999997</v>
      </c>
      <c r="CK119" s="409"/>
      <c r="CL119" s="409"/>
      <c r="CM119" s="409"/>
      <c r="CN119" s="409"/>
      <c r="CO119" s="409">
        <v>-189.69827999999995</v>
      </c>
      <c r="CP119" s="409">
        <v>18.324360000000016</v>
      </c>
      <c r="CQ119" s="409">
        <v>30</v>
      </c>
      <c r="CR119" s="409">
        <v>32.216700641506691</v>
      </c>
      <c r="CS119" s="409">
        <v>0</v>
      </c>
      <c r="CT119" s="409">
        <v>0</v>
      </c>
      <c r="CU119" s="409">
        <v>0</v>
      </c>
      <c r="CV119" s="409">
        <v>0</v>
      </c>
      <c r="CW119" s="409">
        <v>0</v>
      </c>
      <c r="CX119" s="409">
        <v>0</v>
      </c>
      <c r="CY119" s="409">
        <v>0</v>
      </c>
      <c r="CZ119" s="409">
        <v>9.5163004673358671</v>
      </c>
      <c r="DA119" s="409">
        <v>0</v>
      </c>
      <c r="DB119" s="409">
        <v>0</v>
      </c>
      <c r="DC119" s="409">
        <v>24.149918778438291</v>
      </c>
      <c r="DD119" s="409">
        <v>0</v>
      </c>
      <c r="DE119" s="409">
        <v>0</v>
      </c>
      <c r="DF119" s="409">
        <v>0</v>
      </c>
      <c r="DG119" s="409">
        <v>3.2763184540994246</v>
      </c>
      <c r="DH119" s="409">
        <v>0</v>
      </c>
      <c r="DI119" s="409">
        <v>-0.39306885689611448</v>
      </c>
      <c r="DJ119" s="409"/>
      <c r="DK119" s="409">
        <v>0</v>
      </c>
      <c r="DL119" s="409">
        <v>0</v>
      </c>
      <c r="DM119" s="409">
        <v>0</v>
      </c>
      <c r="DN119" s="409">
        <v>0</v>
      </c>
      <c r="DO119" s="409">
        <v>-0.12342269794992689</v>
      </c>
      <c r="DP119" s="409">
        <v>-0.21904643415704017</v>
      </c>
      <c r="DQ119" s="409">
        <v>0</v>
      </c>
      <c r="DR119" s="409">
        <v>-3.9902990693637839</v>
      </c>
      <c r="DS119" s="409"/>
      <c r="DT119" s="409"/>
      <c r="DU119" s="409"/>
      <c r="DV119" s="409">
        <v>888.14344463633734</v>
      </c>
      <c r="DW119" s="409">
        <v>0</v>
      </c>
      <c r="DX119" s="409">
        <v>0</v>
      </c>
      <c r="DY119" s="409">
        <v>-189.69828000000007</v>
      </c>
      <c r="DZ119" s="409">
        <v>18.324359999999956</v>
      </c>
      <c r="EA119" s="409">
        <v>0</v>
      </c>
      <c r="EB119" s="409">
        <v>0</v>
      </c>
      <c r="EC119" s="409">
        <v>-203.58336170672681</v>
      </c>
      <c r="ED119" s="409">
        <v>0</v>
      </c>
      <c r="EE119" s="409">
        <v>0</v>
      </c>
      <c r="EF119" s="409">
        <v>0</v>
      </c>
      <c r="EG119" s="409">
        <v>0</v>
      </c>
      <c r="EH119" s="409">
        <v>0</v>
      </c>
      <c r="EI119" s="409">
        <v>0</v>
      </c>
      <c r="EJ119" s="409">
        <v>0</v>
      </c>
      <c r="EK119" s="409">
        <v>0</v>
      </c>
      <c r="EL119" s="409">
        <v>0</v>
      </c>
      <c r="EM119" s="409">
        <v>0</v>
      </c>
      <c r="EN119" s="409">
        <v>0</v>
      </c>
      <c r="EO119" s="409">
        <v>0</v>
      </c>
      <c r="EP119" s="409">
        <v>0</v>
      </c>
      <c r="EQ119" s="409">
        <v>0</v>
      </c>
      <c r="ER119" s="409">
        <v>0</v>
      </c>
      <c r="ES119" s="409">
        <v>0</v>
      </c>
      <c r="ET119" s="409">
        <v>0</v>
      </c>
      <c r="EU119" s="409">
        <v>0</v>
      </c>
      <c r="EV119" s="409">
        <v>254</v>
      </c>
      <c r="EW119" s="409">
        <v>0</v>
      </c>
      <c r="EX119" s="409">
        <v>0</v>
      </c>
      <c r="EY119" s="409">
        <v>0</v>
      </c>
      <c r="EZ119" s="409"/>
      <c r="FA119" s="409">
        <v>0</v>
      </c>
      <c r="FB119" s="409"/>
      <c r="FC119" s="409"/>
      <c r="FD119" s="409"/>
      <c r="FE119" s="409"/>
      <c r="FF119" s="409">
        <v>0</v>
      </c>
      <c r="FG119" s="409">
        <v>0</v>
      </c>
      <c r="FH119" s="409">
        <v>0</v>
      </c>
      <c r="FI119" s="409">
        <v>0</v>
      </c>
    </row>
    <row r="120" spans="1:165" s="874" customFormat="1">
      <c r="A120" s="409">
        <v>118</v>
      </c>
      <c r="B120" s="409" t="s">
        <v>1035</v>
      </c>
      <c r="C120" s="409" t="s">
        <v>2244</v>
      </c>
      <c r="D120" s="409" t="s">
        <v>1991</v>
      </c>
      <c r="E120" s="409" t="s">
        <v>968</v>
      </c>
      <c r="F120" s="409" t="s">
        <v>2247</v>
      </c>
      <c r="G120" s="409" t="s">
        <v>1323</v>
      </c>
      <c r="H120" s="409" t="s">
        <v>1323</v>
      </c>
      <c r="I120" s="409" t="s">
        <v>1323</v>
      </c>
      <c r="J120" s="409" t="s">
        <v>2245</v>
      </c>
      <c r="K120" s="835">
        <v>44440</v>
      </c>
      <c r="L120" s="409">
        <v>0</v>
      </c>
      <c r="M120" s="409">
        <v>0</v>
      </c>
      <c r="N120" s="409">
        <v>61.23</v>
      </c>
      <c r="O120" s="409">
        <v>61.23</v>
      </c>
      <c r="P120" s="409">
        <v>61.23</v>
      </c>
      <c r="Q120" s="409">
        <v>61.23</v>
      </c>
      <c r="R120" s="409"/>
      <c r="S120" s="409">
        <v>561.96</v>
      </c>
      <c r="T120" s="409">
        <v>243.39</v>
      </c>
      <c r="U120" s="409"/>
      <c r="V120" s="409">
        <v>49311.580499999996</v>
      </c>
      <c r="W120" s="409">
        <v>49311.580499999996</v>
      </c>
      <c r="X120" s="409">
        <v>44478.696599999996</v>
      </c>
      <c r="Y120" s="409">
        <v>0</v>
      </c>
      <c r="Z120" s="409">
        <v>0</v>
      </c>
      <c r="AA120" s="409">
        <v>0</v>
      </c>
      <c r="AB120" s="409">
        <v>0</v>
      </c>
      <c r="AC120" s="409">
        <v>0</v>
      </c>
      <c r="AD120" s="409">
        <v>7175.486487287686</v>
      </c>
      <c r="AE120" s="409">
        <v>25106.658871229425</v>
      </c>
      <c r="AF120" s="409">
        <v>14902.600999181026</v>
      </c>
      <c r="AG120" s="409">
        <v>0</v>
      </c>
      <c r="AH120" s="409">
        <v>0</v>
      </c>
      <c r="AI120" s="409">
        <v>0</v>
      </c>
      <c r="AJ120" s="409">
        <v>0</v>
      </c>
      <c r="AK120" s="409">
        <v>0</v>
      </c>
      <c r="AL120" s="409">
        <v>0</v>
      </c>
      <c r="AM120" s="409"/>
      <c r="AN120" s="409">
        <v>105.12403705622535</v>
      </c>
      <c r="AO120" s="409">
        <v>0</v>
      </c>
      <c r="AP120" s="409">
        <v>0</v>
      </c>
      <c r="AQ120" s="409">
        <v>0</v>
      </c>
      <c r="AR120" s="409">
        <v>0</v>
      </c>
      <c r="AS120" s="409">
        <v>0</v>
      </c>
      <c r="AT120" s="409">
        <v>0</v>
      </c>
      <c r="AU120" s="409">
        <v>0</v>
      </c>
      <c r="AV120" s="409">
        <v>0</v>
      </c>
      <c r="AW120" s="409">
        <v>0</v>
      </c>
      <c r="AX120" s="409">
        <v>0</v>
      </c>
      <c r="AY120" s="409">
        <v>0</v>
      </c>
      <c r="AZ120" s="409">
        <v>0</v>
      </c>
      <c r="BA120" s="409"/>
      <c r="BB120" s="409">
        <v>0</v>
      </c>
      <c r="BC120" s="409">
        <v>0</v>
      </c>
      <c r="BD120" s="409">
        <v>0</v>
      </c>
      <c r="BE120" s="409">
        <v>0</v>
      </c>
      <c r="BF120" s="409">
        <v>0</v>
      </c>
      <c r="BG120" s="409">
        <v>2021.7735353748753</v>
      </c>
      <c r="BH120" s="409">
        <v>0</v>
      </c>
      <c r="BI120" s="409">
        <v>0</v>
      </c>
      <c r="BJ120" s="409">
        <v>0</v>
      </c>
      <c r="BK120" s="409">
        <v>0</v>
      </c>
      <c r="BL120" s="409">
        <v>138</v>
      </c>
      <c r="BM120" s="409"/>
      <c r="BN120" s="409"/>
      <c r="BO120" s="409"/>
      <c r="BP120" s="409"/>
      <c r="BQ120" s="409"/>
      <c r="BR120" s="409"/>
      <c r="BS120" s="409"/>
      <c r="BT120" s="409">
        <v>28910.969099999998</v>
      </c>
      <c r="BU120" s="409"/>
      <c r="BV120" s="409">
        <v>16924.3745345559</v>
      </c>
      <c r="BW120" s="409"/>
      <c r="BX120" s="409"/>
      <c r="BY120" s="409"/>
      <c r="BZ120" s="409"/>
      <c r="CA120" s="409"/>
      <c r="CB120" s="409"/>
      <c r="CC120" s="409"/>
      <c r="CD120" s="409"/>
      <c r="CE120" s="409"/>
      <c r="CF120" s="409"/>
      <c r="CG120" s="409"/>
      <c r="CH120" s="409"/>
      <c r="CI120" s="409">
        <v>15567.727500000001</v>
      </c>
      <c r="CJ120" s="409">
        <v>-1691.8148999999976</v>
      </c>
      <c r="CK120" s="409"/>
      <c r="CL120" s="409"/>
      <c r="CM120" s="409"/>
      <c r="CN120" s="409"/>
      <c r="CO120" s="409">
        <v>-5350.8897000000024</v>
      </c>
      <c r="CP120" s="409">
        <v>518.00580000000048</v>
      </c>
      <c r="CQ120" s="409">
        <v>30</v>
      </c>
      <c r="CR120" s="409">
        <v>922.29560146641961</v>
      </c>
      <c r="CS120" s="409">
        <v>0</v>
      </c>
      <c r="CT120" s="409">
        <v>0</v>
      </c>
      <c r="CU120" s="409">
        <v>0</v>
      </c>
      <c r="CV120" s="409">
        <v>0</v>
      </c>
      <c r="CW120" s="409">
        <v>0</v>
      </c>
      <c r="CX120" s="409">
        <v>0</v>
      </c>
      <c r="CY120" s="409">
        <v>0</v>
      </c>
      <c r="CZ120" s="409">
        <v>269.01342456831753</v>
      </c>
      <c r="DA120" s="409">
        <v>0</v>
      </c>
      <c r="DB120" s="409">
        <v>0</v>
      </c>
      <c r="DC120" s="409">
        <v>682.68676214393963</v>
      </c>
      <c r="DD120" s="409">
        <v>0</v>
      </c>
      <c r="DE120" s="409">
        <v>0</v>
      </c>
      <c r="DF120" s="409">
        <v>0</v>
      </c>
      <c r="DG120" s="409">
        <v>92.617257130428243</v>
      </c>
      <c r="DH120" s="409">
        <v>0</v>
      </c>
      <c r="DI120" s="409">
        <v>0</v>
      </c>
      <c r="DJ120" s="409"/>
      <c r="DK120" s="409">
        <v>0</v>
      </c>
      <c r="DL120" s="409">
        <v>0</v>
      </c>
      <c r="DM120" s="409">
        <v>0</v>
      </c>
      <c r="DN120" s="409">
        <v>0</v>
      </c>
      <c r="DO120" s="409">
        <v>0</v>
      </c>
      <c r="DP120" s="409">
        <v>-6.1921575085113574</v>
      </c>
      <c r="DQ120" s="409">
        <v>0</v>
      </c>
      <c r="DR120" s="409">
        <v>-115.82968486775475</v>
      </c>
      <c r="DS120" s="409"/>
      <c r="DT120" s="409"/>
      <c r="DU120" s="409"/>
      <c r="DV120" s="409">
        <v>25106.658871229425</v>
      </c>
      <c r="DW120" s="409">
        <v>0</v>
      </c>
      <c r="DX120" s="409">
        <v>0</v>
      </c>
      <c r="DY120" s="409">
        <v>-5350.8896999999997</v>
      </c>
      <c r="DZ120" s="409">
        <v>518.00580000000082</v>
      </c>
      <c r="EA120" s="409">
        <v>0</v>
      </c>
      <c r="EB120" s="409">
        <v>0</v>
      </c>
      <c r="EC120" s="409">
        <v>-5755.0365823189677</v>
      </c>
      <c r="ED120" s="409">
        <v>0</v>
      </c>
      <c r="EE120" s="409">
        <v>0</v>
      </c>
      <c r="EF120" s="409">
        <v>0</v>
      </c>
      <c r="EG120" s="409">
        <v>0</v>
      </c>
      <c r="EH120" s="409">
        <v>0</v>
      </c>
      <c r="EI120" s="409">
        <v>0</v>
      </c>
      <c r="EJ120" s="409">
        <v>0</v>
      </c>
      <c r="EK120" s="409">
        <v>0</v>
      </c>
      <c r="EL120" s="409">
        <v>0</v>
      </c>
      <c r="EM120" s="409">
        <v>0</v>
      </c>
      <c r="EN120" s="409">
        <v>0</v>
      </c>
      <c r="EO120" s="409">
        <v>0</v>
      </c>
      <c r="EP120" s="409">
        <v>0</v>
      </c>
      <c r="EQ120" s="409">
        <v>0</v>
      </c>
      <c r="ER120" s="409">
        <v>0</v>
      </c>
      <c r="ES120" s="409">
        <v>0</v>
      </c>
      <c r="ET120" s="409">
        <v>0</v>
      </c>
      <c r="EU120" s="409">
        <v>0</v>
      </c>
      <c r="EV120" s="409">
        <v>254</v>
      </c>
      <c r="EW120" s="409">
        <v>0</v>
      </c>
      <c r="EX120" s="409">
        <v>0</v>
      </c>
      <c r="EY120" s="409">
        <v>0</v>
      </c>
      <c r="EZ120" s="409"/>
      <c r="FA120" s="409">
        <v>0</v>
      </c>
      <c r="FB120" s="409"/>
      <c r="FC120" s="409"/>
      <c r="FD120" s="409"/>
      <c r="FE120" s="409"/>
      <c r="FF120" s="409">
        <v>0</v>
      </c>
      <c r="FG120" s="409">
        <v>0</v>
      </c>
      <c r="FH120" s="409">
        <v>0</v>
      </c>
      <c r="FI120" s="409">
        <v>0</v>
      </c>
    </row>
    <row r="121" spans="1:165" s="874" customFormat="1">
      <c r="A121" s="409">
        <v>119</v>
      </c>
      <c r="B121" s="409" t="s">
        <v>1035</v>
      </c>
      <c r="C121" s="409" t="s">
        <v>2244</v>
      </c>
      <c r="D121" s="409" t="s">
        <v>1991</v>
      </c>
      <c r="E121" s="409" t="s">
        <v>968</v>
      </c>
      <c r="F121" s="409" t="s">
        <v>2248</v>
      </c>
      <c r="G121" s="409" t="s">
        <v>1323</v>
      </c>
      <c r="H121" s="409" t="s">
        <v>1323</v>
      </c>
      <c r="I121" s="409" t="s">
        <v>1323</v>
      </c>
      <c r="J121" s="409" t="s">
        <v>2245</v>
      </c>
      <c r="K121" s="835">
        <v>44440</v>
      </c>
      <c r="L121" s="409">
        <v>0</v>
      </c>
      <c r="M121" s="409">
        <v>0</v>
      </c>
      <c r="N121" s="409">
        <v>91.117999999999995</v>
      </c>
      <c r="O121" s="409">
        <v>91.117999999999995</v>
      </c>
      <c r="P121" s="409">
        <v>91.117999999999995</v>
      </c>
      <c r="Q121" s="409">
        <v>91.117999999999995</v>
      </c>
      <c r="R121" s="409"/>
      <c r="S121" s="409">
        <v>561.96</v>
      </c>
      <c r="T121" s="409">
        <v>243.39</v>
      </c>
      <c r="U121" s="409"/>
      <c r="V121" s="409">
        <v>73381.881300000008</v>
      </c>
      <c r="W121" s="409">
        <v>73381.881300000008</v>
      </c>
      <c r="X121" s="409">
        <v>66189.937559999991</v>
      </c>
      <c r="Y121" s="409">
        <v>0</v>
      </c>
      <c r="Z121" s="409">
        <v>0</v>
      </c>
      <c r="AA121" s="409">
        <v>0</v>
      </c>
      <c r="AB121" s="409">
        <v>0</v>
      </c>
      <c r="AC121" s="409">
        <v>0</v>
      </c>
      <c r="AD121" s="409">
        <v>10678.033280233209</v>
      </c>
      <c r="AE121" s="409">
        <v>37361.890299341547</v>
      </c>
      <c r="AF121" s="409">
        <v>22176.958971801025</v>
      </c>
      <c r="AG121" s="409">
        <v>0</v>
      </c>
      <c r="AH121" s="409">
        <v>0</v>
      </c>
      <c r="AI121" s="409">
        <v>0</v>
      </c>
      <c r="AJ121" s="409">
        <v>0</v>
      </c>
      <c r="AK121" s="409">
        <v>0</v>
      </c>
      <c r="AL121" s="409">
        <v>0</v>
      </c>
      <c r="AM121" s="409"/>
      <c r="AN121" s="409">
        <v>156.43789006188373</v>
      </c>
      <c r="AO121" s="409">
        <v>0</v>
      </c>
      <c r="AP121" s="409">
        <v>0</v>
      </c>
      <c r="AQ121" s="409">
        <v>0</v>
      </c>
      <c r="AR121" s="409">
        <v>0</v>
      </c>
      <c r="AS121" s="409">
        <v>0</v>
      </c>
      <c r="AT121" s="409">
        <v>0</v>
      </c>
      <c r="AU121" s="409">
        <v>0</v>
      </c>
      <c r="AV121" s="409">
        <v>0</v>
      </c>
      <c r="AW121" s="409">
        <v>0</v>
      </c>
      <c r="AX121" s="409">
        <v>0</v>
      </c>
      <c r="AY121" s="409">
        <v>0</v>
      </c>
      <c r="AZ121" s="409">
        <v>0</v>
      </c>
      <c r="BA121" s="409"/>
      <c r="BB121" s="409">
        <v>0</v>
      </c>
      <c r="BC121" s="409">
        <v>0</v>
      </c>
      <c r="BD121" s="409">
        <v>0</v>
      </c>
      <c r="BE121" s="409">
        <v>0</v>
      </c>
      <c r="BF121" s="409">
        <v>0</v>
      </c>
      <c r="BG121" s="409">
        <v>3008.6552506334783</v>
      </c>
      <c r="BH121" s="409">
        <v>0</v>
      </c>
      <c r="BI121" s="409">
        <v>0</v>
      </c>
      <c r="BJ121" s="409">
        <v>0</v>
      </c>
      <c r="BK121" s="409">
        <v>0</v>
      </c>
      <c r="BL121" s="409">
        <v>1289</v>
      </c>
      <c r="BM121" s="409"/>
      <c r="BN121" s="409"/>
      <c r="BO121" s="409"/>
      <c r="BP121" s="409"/>
      <c r="BQ121" s="409"/>
      <c r="BR121" s="409"/>
      <c r="BS121" s="409"/>
      <c r="BT121" s="409">
        <v>26476.157259999996</v>
      </c>
      <c r="BU121" s="409"/>
      <c r="BV121" s="409">
        <v>25185.614222434502</v>
      </c>
      <c r="BW121" s="409"/>
      <c r="BX121" s="409"/>
      <c r="BY121" s="409"/>
      <c r="BZ121" s="409"/>
      <c r="CA121" s="409"/>
      <c r="CB121" s="409"/>
      <c r="CC121" s="409"/>
      <c r="CD121" s="409"/>
      <c r="CE121" s="409"/>
      <c r="CF121" s="409"/>
      <c r="CG121" s="409"/>
      <c r="CH121" s="409"/>
      <c r="CI121" s="409">
        <v>39714.652000000002</v>
      </c>
      <c r="CJ121" s="409">
        <v>-4314.5067799999961</v>
      </c>
      <c r="CK121" s="409"/>
      <c r="CL121" s="409"/>
      <c r="CM121" s="409"/>
      <c r="CN121" s="409"/>
      <c r="CO121" s="409">
        <v>-7962.8020200000037</v>
      </c>
      <c r="CP121" s="409">
        <v>770.85828000000072</v>
      </c>
      <c r="CQ121" s="409">
        <v>30</v>
      </c>
      <c r="CR121" s="409">
        <v>1372.4927423553381</v>
      </c>
      <c r="CS121" s="409">
        <v>0</v>
      </c>
      <c r="CT121" s="409">
        <v>0</v>
      </c>
      <c r="CU121" s="409">
        <v>0</v>
      </c>
      <c r="CV121" s="409">
        <v>0</v>
      </c>
      <c r="CW121" s="409">
        <v>0</v>
      </c>
      <c r="CX121" s="409">
        <v>0</v>
      </c>
      <c r="CY121" s="409">
        <v>0</v>
      </c>
      <c r="CZ121" s="409">
        <v>400.32606924409447</v>
      </c>
      <c r="DA121" s="409">
        <v>0</v>
      </c>
      <c r="DB121" s="409">
        <v>0</v>
      </c>
      <c r="DC121" s="409">
        <v>1015.9244225548173</v>
      </c>
      <c r="DD121" s="409">
        <v>0</v>
      </c>
      <c r="DE121" s="409">
        <v>0</v>
      </c>
      <c r="DF121" s="409">
        <v>0</v>
      </c>
      <c r="DG121" s="409">
        <v>137.82621648228587</v>
      </c>
      <c r="DH121" s="409">
        <v>0</v>
      </c>
      <c r="DI121" s="409">
        <v>0</v>
      </c>
      <c r="DJ121" s="409"/>
      <c r="DK121" s="409">
        <v>0</v>
      </c>
      <c r="DL121" s="409">
        <v>0</v>
      </c>
      <c r="DM121" s="409">
        <v>0</v>
      </c>
      <c r="DN121" s="409">
        <v>0</v>
      </c>
      <c r="DO121" s="409">
        <v>0</v>
      </c>
      <c r="DP121" s="409">
        <v>-9.2147151373597467</v>
      </c>
      <c r="DQ121" s="409">
        <v>0</v>
      </c>
      <c r="DR121" s="409">
        <v>-172.36925078850362</v>
      </c>
      <c r="DS121" s="409"/>
      <c r="DT121" s="409"/>
      <c r="DU121" s="409"/>
      <c r="DV121" s="409">
        <v>37361.890299341547</v>
      </c>
      <c r="DW121" s="409">
        <v>0</v>
      </c>
      <c r="DX121" s="409">
        <v>0</v>
      </c>
      <c r="DY121" s="409">
        <v>-7962.8020200000028</v>
      </c>
      <c r="DZ121" s="409">
        <v>770.85828000000038</v>
      </c>
      <c r="EA121" s="409">
        <v>0</v>
      </c>
      <c r="EB121" s="409">
        <v>0</v>
      </c>
      <c r="EC121" s="409">
        <v>-8564.2238005510335</v>
      </c>
      <c r="ED121" s="409">
        <v>0</v>
      </c>
      <c r="EE121" s="409">
        <v>0</v>
      </c>
      <c r="EF121" s="409">
        <v>0</v>
      </c>
      <c r="EG121" s="409">
        <v>0</v>
      </c>
      <c r="EH121" s="409">
        <v>0</v>
      </c>
      <c r="EI121" s="409">
        <v>0</v>
      </c>
      <c r="EJ121" s="409">
        <v>0</v>
      </c>
      <c r="EK121" s="409">
        <v>0</v>
      </c>
      <c r="EL121" s="409">
        <v>0</v>
      </c>
      <c r="EM121" s="409">
        <v>0</v>
      </c>
      <c r="EN121" s="409">
        <v>0</v>
      </c>
      <c r="EO121" s="409">
        <v>0</v>
      </c>
      <c r="EP121" s="409">
        <v>0</v>
      </c>
      <c r="EQ121" s="409">
        <v>0</v>
      </c>
      <c r="ER121" s="409">
        <v>0</v>
      </c>
      <c r="ES121" s="409">
        <v>0</v>
      </c>
      <c r="ET121" s="409">
        <v>0</v>
      </c>
      <c r="EU121" s="409">
        <v>0</v>
      </c>
      <c r="EV121" s="409">
        <v>254</v>
      </c>
      <c r="EW121" s="409">
        <v>0</v>
      </c>
      <c r="EX121" s="409">
        <v>0</v>
      </c>
      <c r="EY121" s="409">
        <v>0</v>
      </c>
      <c r="EZ121" s="409"/>
      <c r="FA121" s="409">
        <v>0</v>
      </c>
      <c r="FB121" s="409"/>
      <c r="FC121" s="409"/>
      <c r="FD121" s="409"/>
      <c r="FE121" s="409"/>
      <c r="FF121" s="409">
        <v>0</v>
      </c>
      <c r="FG121" s="409">
        <v>0</v>
      </c>
      <c r="FH121" s="409">
        <v>0</v>
      </c>
      <c r="FI121" s="409">
        <v>0</v>
      </c>
    </row>
    <row r="122" spans="1:165" s="874" customFormat="1">
      <c r="A122" s="409">
        <v>120</v>
      </c>
      <c r="B122" s="409" t="s">
        <v>1035</v>
      </c>
      <c r="C122" s="409" t="s">
        <v>2244</v>
      </c>
      <c r="D122" s="409" t="s">
        <v>1991</v>
      </c>
      <c r="E122" s="409" t="s">
        <v>968</v>
      </c>
      <c r="F122" s="409" t="s">
        <v>2249</v>
      </c>
      <c r="G122" s="409" t="s">
        <v>1323</v>
      </c>
      <c r="H122" s="409" t="s">
        <v>1323</v>
      </c>
      <c r="I122" s="409" t="s">
        <v>1323</v>
      </c>
      <c r="J122" s="409" t="s">
        <v>2245</v>
      </c>
      <c r="K122" s="835">
        <v>44440</v>
      </c>
      <c r="L122" s="409">
        <v>0</v>
      </c>
      <c r="M122" s="409">
        <v>0</v>
      </c>
      <c r="N122" s="409">
        <v>25.832999999999998</v>
      </c>
      <c r="O122" s="409">
        <v>25.832999999999998</v>
      </c>
      <c r="P122" s="409">
        <v>25.832999999999998</v>
      </c>
      <c r="Q122" s="409">
        <v>25.832999999999998</v>
      </c>
      <c r="R122" s="409"/>
      <c r="S122" s="409">
        <v>561.96</v>
      </c>
      <c r="T122" s="409">
        <v>243.39</v>
      </c>
      <c r="U122" s="409"/>
      <c r="V122" s="409">
        <v>20804.60655</v>
      </c>
      <c r="W122" s="409">
        <v>20804.60655</v>
      </c>
      <c r="X122" s="409">
        <v>18765.607859999996</v>
      </c>
      <c r="Y122" s="409">
        <v>0</v>
      </c>
      <c r="Z122" s="409">
        <v>0</v>
      </c>
      <c r="AA122" s="409">
        <v>0</v>
      </c>
      <c r="AB122" s="409">
        <v>0</v>
      </c>
      <c r="AC122" s="409">
        <v>0</v>
      </c>
      <c r="AD122" s="409">
        <v>3027.3451318978082</v>
      </c>
      <c r="AE122" s="409">
        <v>10592.525210198755</v>
      </c>
      <c r="AF122" s="409">
        <v>6287.4226949508975</v>
      </c>
      <c r="AG122" s="409">
        <v>0</v>
      </c>
      <c r="AH122" s="409">
        <v>0</v>
      </c>
      <c r="AI122" s="409">
        <v>0</v>
      </c>
      <c r="AJ122" s="409">
        <v>0</v>
      </c>
      <c r="AK122" s="409">
        <v>0</v>
      </c>
      <c r="AL122" s="409">
        <v>0</v>
      </c>
      <c r="AM122" s="409"/>
      <c r="AN122" s="409">
        <v>44.35193939692094</v>
      </c>
      <c r="AO122" s="409">
        <v>0</v>
      </c>
      <c r="AP122" s="409">
        <v>0</v>
      </c>
      <c r="AQ122" s="409">
        <v>0</v>
      </c>
      <c r="AR122" s="409">
        <v>0</v>
      </c>
      <c r="AS122" s="409">
        <v>0</v>
      </c>
      <c r="AT122" s="409">
        <v>0</v>
      </c>
      <c r="AU122" s="409">
        <v>0</v>
      </c>
      <c r="AV122" s="409">
        <v>0</v>
      </c>
      <c r="AW122" s="409">
        <v>0</v>
      </c>
      <c r="AX122" s="409">
        <v>0</v>
      </c>
      <c r="AY122" s="409">
        <v>0</v>
      </c>
      <c r="AZ122" s="409">
        <v>0</v>
      </c>
      <c r="BA122" s="409"/>
      <c r="BB122" s="409">
        <v>0</v>
      </c>
      <c r="BC122" s="409">
        <v>0</v>
      </c>
      <c r="BD122" s="409">
        <v>0</v>
      </c>
      <c r="BE122" s="409">
        <v>0</v>
      </c>
      <c r="BF122" s="409">
        <v>0</v>
      </c>
      <c r="BG122" s="409">
        <v>852.98833479240818</v>
      </c>
      <c r="BH122" s="409">
        <v>0</v>
      </c>
      <c r="BI122" s="409">
        <v>0</v>
      </c>
      <c r="BJ122" s="409">
        <v>0</v>
      </c>
      <c r="BK122" s="409">
        <v>0</v>
      </c>
      <c r="BL122" s="409">
        <v>562</v>
      </c>
      <c r="BM122" s="409"/>
      <c r="BN122" s="409"/>
      <c r="BO122" s="409"/>
      <c r="BP122" s="409"/>
      <c r="BQ122" s="409"/>
      <c r="BR122" s="409"/>
      <c r="BS122" s="409"/>
      <c r="BT122" s="409">
        <v>1876.5091199999997</v>
      </c>
      <c r="BU122" s="409"/>
      <c r="BV122" s="409">
        <v>7140.4110297433053</v>
      </c>
      <c r="BW122" s="409"/>
      <c r="BX122" s="409"/>
      <c r="BY122" s="409"/>
      <c r="BZ122" s="409"/>
      <c r="CA122" s="409"/>
      <c r="CB122" s="409"/>
      <c r="CC122" s="409"/>
      <c r="CD122" s="409"/>
      <c r="CE122" s="409"/>
      <c r="CF122" s="409"/>
      <c r="CG122" s="409"/>
      <c r="CH122" s="409"/>
      <c r="CI122" s="409">
        <v>16887.1374</v>
      </c>
      <c r="CJ122" s="409">
        <v>-1837.1676599999992</v>
      </c>
      <c r="CK122" s="409"/>
      <c r="CL122" s="409"/>
      <c r="CM122" s="409"/>
      <c r="CN122" s="409"/>
      <c r="CO122" s="409">
        <v>-2257.5458700000008</v>
      </c>
      <c r="CP122" s="409">
        <v>218.5471800000002</v>
      </c>
      <c r="CQ122" s="409">
        <v>30</v>
      </c>
      <c r="CR122" s="409">
        <v>389.1174632154507</v>
      </c>
      <c r="CS122" s="409">
        <v>0</v>
      </c>
      <c r="CT122" s="409">
        <v>0</v>
      </c>
      <c r="CU122" s="409">
        <v>0</v>
      </c>
      <c r="CV122" s="409">
        <v>0</v>
      </c>
      <c r="CW122" s="409">
        <v>0</v>
      </c>
      <c r="CX122" s="409">
        <v>0</v>
      </c>
      <c r="CY122" s="409">
        <v>0</v>
      </c>
      <c r="CZ122" s="409">
        <v>113.49704061527564</v>
      </c>
      <c r="DA122" s="409">
        <v>0</v>
      </c>
      <c r="DB122" s="409">
        <v>0</v>
      </c>
      <c r="DC122" s="409">
        <v>288.0262473699886</v>
      </c>
      <c r="DD122" s="409">
        <v>0</v>
      </c>
      <c r="DE122" s="409">
        <v>0</v>
      </c>
      <c r="DF122" s="409">
        <v>0</v>
      </c>
      <c r="DG122" s="409">
        <v>39.075316077908724</v>
      </c>
      <c r="DH122" s="409">
        <v>0</v>
      </c>
      <c r="DI122" s="409">
        <v>0</v>
      </c>
      <c r="DJ122" s="409"/>
      <c r="DK122" s="409">
        <v>0</v>
      </c>
      <c r="DL122" s="409">
        <v>0</v>
      </c>
      <c r="DM122" s="409">
        <v>0</v>
      </c>
      <c r="DN122" s="409">
        <v>0</v>
      </c>
      <c r="DO122" s="409">
        <v>0</v>
      </c>
      <c r="DP122" s="409">
        <v>-2.6124776239976057</v>
      </c>
      <c r="DQ122" s="409">
        <v>0</v>
      </c>
      <c r="DR122" s="409">
        <v>-48.868663223725434</v>
      </c>
      <c r="DS122" s="409"/>
      <c r="DT122" s="409"/>
      <c r="DU122" s="409"/>
      <c r="DV122" s="409">
        <v>10592.525210198755</v>
      </c>
      <c r="DW122" s="409">
        <v>0</v>
      </c>
      <c r="DX122" s="409">
        <v>0</v>
      </c>
      <c r="DY122" s="409">
        <v>-2257.5458700000017</v>
      </c>
      <c r="DZ122" s="409">
        <v>218.54718000000048</v>
      </c>
      <c r="EA122" s="409">
        <v>0</v>
      </c>
      <c r="EB122" s="409">
        <v>0</v>
      </c>
      <c r="EC122" s="409">
        <v>-2428.0558554800909</v>
      </c>
      <c r="ED122" s="409">
        <v>0</v>
      </c>
      <c r="EE122" s="409">
        <v>0</v>
      </c>
      <c r="EF122" s="409">
        <v>0</v>
      </c>
      <c r="EG122" s="409">
        <v>0</v>
      </c>
      <c r="EH122" s="409">
        <v>0</v>
      </c>
      <c r="EI122" s="409">
        <v>0</v>
      </c>
      <c r="EJ122" s="409">
        <v>0</v>
      </c>
      <c r="EK122" s="409">
        <v>0</v>
      </c>
      <c r="EL122" s="409">
        <v>0</v>
      </c>
      <c r="EM122" s="409">
        <v>0</v>
      </c>
      <c r="EN122" s="409">
        <v>0</v>
      </c>
      <c r="EO122" s="409">
        <v>0</v>
      </c>
      <c r="EP122" s="409">
        <v>0</v>
      </c>
      <c r="EQ122" s="409">
        <v>0</v>
      </c>
      <c r="ER122" s="409">
        <v>0</v>
      </c>
      <c r="ES122" s="409">
        <v>0</v>
      </c>
      <c r="ET122" s="409">
        <v>0</v>
      </c>
      <c r="EU122" s="409">
        <v>0</v>
      </c>
      <c r="EV122" s="409">
        <v>254</v>
      </c>
      <c r="EW122" s="409">
        <v>0</v>
      </c>
      <c r="EX122" s="409">
        <v>0</v>
      </c>
      <c r="EY122" s="409">
        <v>0</v>
      </c>
      <c r="EZ122" s="409"/>
      <c r="FA122" s="409">
        <v>0</v>
      </c>
      <c r="FB122" s="409"/>
      <c r="FC122" s="409"/>
      <c r="FD122" s="409"/>
      <c r="FE122" s="409"/>
      <c r="FF122" s="409">
        <v>0</v>
      </c>
      <c r="FG122" s="409">
        <v>0</v>
      </c>
      <c r="FH122" s="409">
        <v>0</v>
      </c>
      <c r="FI122" s="409">
        <v>0</v>
      </c>
    </row>
    <row r="123" spans="1:165" s="874" customFormat="1">
      <c r="A123" s="409">
        <v>121</v>
      </c>
      <c r="B123" s="409" t="s">
        <v>1035</v>
      </c>
      <c r="C123" s="409" t="s">
        <v>2244</v>
      </c>
      <c r="D123" s="409" t="s">
        <v>1991</v>
      </c>
      <c r="E123" s="409" t="s">
        <v>968</v>
      </c>
      <c r="F123" s="409" t="s">
        <v>2250</v>
      </c>
      <c r="G123" s="409" t="s">
        <v>1323</v>
      </c>
      <c r="H123" s="409" t="s">
        <v>1323</v>
      </c>
      <c r="I123" s="409" t="s">
        <v>1323</v>
      </c>
      <c r="J123" s="409" t="s">
        <v>2245</v>
      </c>
      <c r="K123" s="835">
        <v>44440</v>
      </c>
      <c r="L123" s="409">
        <v>0</v>
      </c>
      <c r="M123" s="409">
        <v>0</v>
      </c>
      <c r="N123" s="409">
        <v>5.7149999999999999</v>
      </c>
      <c r="O123" s="409">
        <v>5.7149999999999999</v>
      </c>
      <c r="P123" s="409">
        <v>5.7149999999999999</v>
      </c>
      <c r="Q123" s="409">
        <v>5.7149999999999999</v>
      </c>
      <c r="R123" s="409"/>
      <c r="S123" s="409">
        <v>561.96</v>
      </c>
      <c r="T123" s="409">
        <v>243.39</v>
      </c>
      <c r="U123" s="409"/>
      <c r="V123" s="409">
        <v>4602.5752499999999</v>
      </c>
      <c r="W123" s="409">
        <v>4602.5752499999999</v>
      </c>
      <c r="X123" s="409">
        <v>4151.4903000000004</v>
      </c>
      <c r="Y123" s="409">
        <v>0</v>
      </c>
      <c r="Z123" s="409">
        <v>0</v>
      </c>
      <c r="AA123" s="409">
        <v>0</v>
      </c>
      <c r="AB123" s="409">
        <v>0</v>
      </c>
      <c r="AC123" s="409">
        <v>0</v>
      </c>
      <c r="AD123" s="409">
        <v>669.73550995997266</v>
      </c>
      <c r="AE123" s="409">
        <v>2343.370169019699</v>
      </c>
      <c r="AF123" s="409">
        <v>1390.9581040391895</v>
      </c>
      <c r="AG123" s="409">
        <v>0</v>
      </c>
      <c r="AH123" s="409">
        <v>0</v>
      </c>
      <c r="AI123" s="409">
        <v>0</v>
      </c>
      <c r="AJ123" s="409">
        <v>0</v>
      </c>
      <c r="AK123" s="409">
        <v>0</v>
      </c>
      <c r="AL123" s="409">
        <v>0</v>
      </c>
      <c r="AM123" s="409"/>
      <c r="AN123" s="409">
        <v>9.8119201661983979</v>
      </c>
      <c r="AO123" s="409">
        <v>0</v>
      </c>
      <c r="AP123" s="409">
        <v>0</v>
      </c>
      <c r="AQ123" s="409">
        <v>0</v>
      </c>
      <c r="AR123" s="409">
        <v>0</v>
      </c>
      <c r="AS123" s="409">
        <v>0</v>
      </c>
      <c r="AT123" s="409">
        <v>0</v>
      </c>
      <c r="AU123" s="409">
        <v>0</v>
      </c>
      <c r="AV123" s="409">
        <v>0</v>
      </c>
      <c r="AW123" s="409">
        <v>0</v>
      </c>
      <c r="AX123" s="409">
        <v>0</v>
      </c>
      <c r="AY123" s="409">
        <v>0</v>
      </c>
      <c r="AZ123" s="409">
        <v>0</v>
      </c>
      <c r="BA123" s="409"/>
      <c r="BB123" s="409">
        <v>0</v>
      </c>
      <c r="BC123" s="409">
        <v>0</v>
      </c>
      <c r="BD123" s="409">
        <v>0</v>
      </c>
      <c r="BE123" s="409">
        <v>0</v>
      </c>
      <c r="BF123" s="409">
        <v>0</v>
      </c>
      <c r="BG123" s="409">
        <v>188.70546716752267</v>
      </c>
      <c r="BH123" s="409">
        <v>0</v>
      </c>
      <c r="BI123" s="409">
        <v>45.82</v>
      </c>
      <c r="BJ123" s="409">
        <v>211.34</v>
      </c>
      <c r="BK123" s="409">
        <v>794.96</v>
      </c>
      <c r="BL123" s="409">
        <v>52</v>
      </c>
      <c r="BM123" s="409"/>
      <c r="BN123" s="409"/>
      <c r="BO123" s="409"/>
      <c r="BP123" s="409"/>
      <c r="BQ123" s="409"/>
      <c r="BR123" s="409"/>
      <c r="BS123" s="409"/>
      <c r="BT123" s="409"/>
      <c r="BU123" s="409"/>
      <c r="BV123" s="409">
        <v>1579.6635712067123</v>
      </c>
      <c r="BW123" s="409"/>
      <c r="BX123" s="409"/>
      <c r="BY123" s="409"/>
      <c r="BZ123" s="409"/>
      <c r="CA123" s="409"/>
      <c r="CB123" s="409"/>
      <c r="CC123" s="409"/>
      <c r="CD123" s="409"/>
      <c r="CE123" s="409"/>
      <c r="CF123" s="409"/>
      <c r="CG123" s="409"/>
      <c r="CH123" s="409"/>
      <c r="CI123" s="409">
        <v>4155.1224000000002</v>
      </c>
      <c r="CJ123" s="409">
        <v>-447.48285000000033</v>
      </c>
      <c r="CK123" s="409"/>
      <c r="CL123" s="409"/>
      <c r="CM123" s="409"/>
      <c r="CN123" s="409"/>
      <c r="CO123" s="409">
        <v>-499.43385000000023</v>
      </c>
      <c r="CP123" s="409">
        <v>48.348900000000043</v>
      </c>
      <c r="CQ123" s="409">
        <v>30</v>
      </c>
      <c r="CR123" s="409">
        <v>86.0839353646993</v>
      </c>
      <c r="CS123" s="409">
        <v>0</v>
      </c>
      <c r="CT123" s="409">
        <v>0</v>
      </c>
      <c r="CU123" s="409">
        <v>0</v>
      </c>
      <c r="CV123" s="409">
        <v>0</v>
      </c>
      <c r="CW123" s="409">
        <v>0</v>
      </c>
      <c r="CX123" s="409">
        <v>0</v>
      </c>
      <c r="CY123" s="409">
        <v>0</v>
      </c>
      <c r="CZ123" s="409">
        <v>25.108798324480404</v>
      </c>
      <c r="DA123" s="409">
        <v>0</v>
      </c>
      <c r="DB123" s="409">
        <v>0</v>
      </c>
      <c r="DC123" s="409">
        <v>63.719661042832058</v>
      </c>
      <c r="DD123" s="409">
        <v>0</v>
      </c>
      <c r="DE123" s="409">
        <v>0</v>
      </c>
      <c r="DF123" s="409">
        <v>0</v>
      </c>
      <c r="DG123" s="409">
        <v>8.6445798546528749</v>
      </c>
      <c r="DH123" s="409">
        <v>0</v>
      </c>
      <c r="DI123" s="409">
        <v>0</v>
      </c>
      <c r="DJ123" s="409"/>
      <c r="DK123" s="409">
        <v>0</v>
      </c>
      <c r="DL123" s="409">
        <v>0</v>
      </c>
      <c r="DM123" s="409">
        <v>0</v>
      </c>
      <c r="DN123" s="409">
        <v>0</v>
      </c>
      <c r="DO123" s="409">
        <v>0</v>
      </c>
      <c r="DP123" s="409">
        <v>-0.57795492668859083</v>
      </c>
      <c r="DQ123" s="409">
        <v>0</v>
      </c>
      <c r="DR123" s="409">
        <v>-10.811148930576817</v>
      </c>
      <c r="DS123" s="409"/>
      <c r="DT123" s="409"/>
      <c r="DU123" s="409"/>
      <c r="DV123" s="409">
        <v>2343.370169019699</v>
      </c>
      <c r="DW123" s="409">
        <v>0</v>
      </c>
      <c r="DX123" s="409">
        <v>0</v>
      </c>
      <c r="DY123" s="409">
        <v>-499.43384999999989</v>
      </c>
      <c r="DZ123" s="409">
        <v>48.348900000000185</v>
      </c>
      <c r="EA123" s="409">
        <v>0</v>
      </c>
      <c r="EB123" s="409">
        <v>0</v>
      </c>
      <c r="EC123" s="409">
        <v>-537.1555457774441</v>
      </c>
      <c r="ED123" s="409">
        <v>0</v>
      </c>
      <c r="EE123" s="409">
        <v>0</v>
      </c>
      <c r="EF123" s="409">
        <v>0</v>
      </c>
      <c r="EG123" s="409">
        <v>0</v>
      </c>
      <c r="EH123" s="409">
        <v>0</v>
      </c>
      <c r="EI123" s="409">
        <v>0</v>
      </c>
      <c r="EJ123" s="409">
        <v>0</v>
      </c>
      <c r="EK123" s="409">
        <v>0</v>
      </c>
      <c r="EL123" s="409">
        <v>0</v>
      </c>
      <c r="EM123" s="409">
        <v>0</v>
      </c>
      <c r="EN123" s="409">
        <v>0</v>
      </c>
      <c r="EO123" s="409">
        <v>0</v>
      </c>
      <c r="EP123" s="409">
        <v>0</v>
      </c>
      <c r="EQ123" s="409">
        <v>0</v>
      </c>
      <c r="ER123" s="409">
        <v>0</v>
      </c>
      <c r="ES123" s="409">
        <v>0</v>
      </c>
      <c r="ET123" s="409">
        <v>0</v>
      </c>
      <c r="EU123" s="409">
        <v>0</v>
      </c>
      <c r="EV123" s="409">
        <v>254</v>
      </c>
      <c r="EW123" s="409">
        <v>0</v>
      </c>
      <c r="EX123" s="409">
        <v>0</v>
      </c>
      <c r="EY123" s="409">
        <v>0</v>
      </c>
      <c r="EZ123" s="409"/>
      <c r="FA123" s="409">
        <v>0</v>
      </c>
      <c r="FB123" s="409"/>
      <c r="FC123" s="409"/>
      <c r="FD123" s="409"/>
      <c r="FE123" s="409"/>
      <c r="FF123" s="409">
        <v>0</v>
      </c>
      <c r="FG123" s="409">
        <v>0</v>
      </c>
      <c r="FH123" s="409">
        <v>0</v>
      </c>
      <c r="FI123" s="409">
        <v>0</v>
      </c>
    </row>
    <row r="124" spans="1:165" s="874" customFormat="1">
      <c r="A124" s="409">
        <v>122</v>
      </c>
      <c r="B124" s="409" t="s">
        <v>1035</v>
      </c>
      <c r="C124" s="409" t="s">
        <v>2244</v>
      </c>
      <c r="D124" s="409" t="s">
        <v>1994</v>
      </c>
      <c r="E124" s="409" t="s">
        <v>969</v>
      </c>
      <c r="F124" s="409" t="s">
        <v>1323</v>
      </c>
      <c r="G124" s="409" t="s">
        <v>1323</v>
      </c>
      <c r="H124" s="409" t="s">
        <v>1323</v>
      </c>
      <c r="I124" s="409" t="s">
        <v>1323</v>
      </c>
      <c r="J124" s="409" t="s">
        <v>2245</v>
      </c>
      <c r="K124" s="835">
        <v>44440</v>
      </c>
      <c r="L124" s="409">
        <v>0</v>
      </c>
      <c r="M124" s="409">
        <v>0</v>
      </c>
      <c r="N124" s="409">
        <v>0.41199999999999998</v>
      </c>
      <c r="O124" s="409">
        <v>0.41199999999999998</v>
      </c>
      <c r="P124" s="409">
        <v>0.41199999999999998</v>
      </c>
      <c r="Q124" s="409">
        <v>0.41199999999999998</v>
      </c>
      <c r="R124" s="409"/>
      <c r="S124" s="409">
        <v>597.01</v>
      </c>
      <c r="T124" s="409">
        <v>243.39</v>
      </c>
      <c r="U124" s="409"/>
      <c r="V124" s="409">
        <v>346.24479999999994</v>
      </c>
      <c r="W124" s="409">
        <v>346.24479999999994</v>
      </c>
      <c r="X124" s="409">
        <v>313.64735999999999</v>
      </c>
      <c r="Y124" s="409">
        <v>0</v>
      </c>
      <c r="Z124" s="409">
        <v>10.251992715661411</v>
      </c>
      <c r="AA124" s="409">
        <v>0</v>
      </c>
      <c r="AB124" s="409">
        <v>0</v>
      </c>
      <c r="AC124" s="409">
        <v>0</v>
      </c>
      <c r="AD124" s="409">
        <v>48.281895031235123</v>
      </c>
      <c r="AE124" s="409">
        <v>168.935872202295</v>
      </c>
      <c r="AF124" s="409">
        <v>100.27554485811828</v>
      </c>
      <c r="AG124" s="409">
        <v>0</v>
      </c>
      <c r="AH124" s="409">
        <v>0</v>
      </c>
      <c r="AI124" s="409">
        <v>0</v>
      </c>
      <c r="AJ124" s="409">
        <v>0</v>
      </c>
      <c r="AK124" s="409">
        <v>0</v>
      </c>
      <c r="AL124" s="409">
        <v>4.1855454200701558</v>
      </c>
      <c r="AM124" s="409"/>
      <c r="AN124" s="409">
        <v>0.70735102510476633</v>
      </c>
      <c r="AO124" s="409">
        <v>0</v>
      </c>
      <c r="AP124" s="409">
        <v>0</v>
      </c>
      <c r="AQ124" s="409">
        <v>0</v>
      </c>
      <c r="AR124" s="409">
        <v>0</v>
      </c>
      <c r="AS124" s="409">
        <v>0</v>
      </c>
      <c r="AT124" s="409">
        <v>0</v>
      </c>
      <c r="AU124" s="409">
        <v>0</v>
      </c>
      <c r="AV124" s="409">
        <v>0</v>
      </c>
      <c r="AW124" s="409">
        <v>0</v>
      </c>
      <c r="AX124" s="409">
        <v>0</v>
      </c>
      <c r="AY124" s="409">
        <v>0</v>
      </c>
      <c r="AZ124" s="409">
        <v>0</v>
      </c>
      <c r="BA124" s="409"/>
      <c r="BB124" s="409">
        <v>0</v>
      </c>
      <c r="BC124" s="409">
        <v>0</v>
      </c>
      <c r="BD124" s="409">
        <v>0</v>
      </c>
      <c r="BE124" s="409">
        <v>0</v>
      </c>
      <c r="BF124" s="409">
        <v>0</v>
      </c>
      <c r="BG124" s="409">
        <v>13.603963687317469</v>
      </c>
      <c r="BH124" s="409">
        <v>0</v>
      </c>
      <c r="BI124" s="409">
        <v>0</v>
      </c>
      <c r="BJ124" s="409">
        <v>0</v>
      </c>
      <c r="BK124" s="409">
        <v>0</v>
      </c>
      <c r="BL124" s="409">
        <v>3</v>
      </c>
      <c r="BM124" s="409"/>
      <c r="BN124" s="409"/>
      <c r="BO124" s="409"/>
      <c r="BP124" s="409"/>
      <c r="BQ124" s="409"/>
      <c r="BR124" s="409"/>
      <c r="BS124" s="409"/>
      <c r="BT124" s="409"/>
      <c r="BU124" s="409"/>
      <c r="BV124" s="409">
        <v>113.87950854543575</v>
      </c>
      <c r="BW124" s="409"/>
      <c r="BX124" s="409"/>
      <c r="BY124" s="409"/>
      <c r="BZ124" s="409"/>
      <c r="CA124" s="409"/>
      <c r="CB124" s="409"/>
      <c r="CC124" s="409"/>
      <c r="CD124" s="409"/>
      <c r="CE124" s="409"/>
      <c r="CF124" s="409"/>
      <c r="CG124" s="409"/>
      <c r="CH124" s="409"/>
      <c r="CI124" s="409">
        <v>312.12479999999999</v>
      </c>
      <c r="CJ124" s="409">
        <v>-34.14999999999992</v>
      </c>
      <c r="CK124" s="409"/>
      <c r="CL124" s="409"/>
      <c r="CM124" s="409"/>
      <c r="CN124" s="409"/>
      <c r="CO124" s="409">
        <v>-36.082959999999993</v>
      </c>
      <c r="CP124" s="409">
        <v>3.4855200000000033</v>
      </c>
      <c r="CQ124" s="409">
        <v>30</v>
      </c>
      <c r="CR124" s="409">
        <v>6.1280150804712719</v>
      </c>
      <c r="CS124" s="409">
        <v>0</v>
      </c>
      <c r="CT124" s="409">
        <v>0</v>
      </c>
      <c r="CU124" s="409">
        <v>0</v>
      </c>
      <c r="CV124" s="409">
        <v>0</v>
      </c>
      <c r="CW124" s="409">
        <v>0</v>
      </c>
      <c r="CX124" s="409">
        <v>0</v>
      </c>
      <c r="CY124" s="409">
        <v>0</v>
      </c>
      <c r="CZ124" s="409">
        <v>1.8101180944332285</v>
      </c>
      <c r="DA124" s="409">
        <v>0</v>
      </c>
      <c r="DB124" s="409">
        <v>0</v>
      </c>
      <c r="DC124" s="409">
        <v>4.5936133595182724</v>
      </c>
      <c r="DD124" s="409">
        <v>0</v>
      </c>
      <c r="DE124" s="409">
        <v>0</v>
      </c>
      <c r="DF124" s="409">
        <v>0</v>
      </c>
      <c r="DG124" s="409">
        <v>0.62319630798197601</v>
      </c>
      <c r="DH124" s="409">
        <v>0</v>
      </c>
      <c r="DI124" s="409">
        <v>-7.476656003748694E-2</v>
      </c>
      <c r="DJ124" s="409"/>
      <c r="DK124" s="409">
        <v>0</v>
      </c>
      <c r="DL124" s="409">
        <v>0</v>
      </c>
      <c r="DM124" s="409">
        <v>0</v>
      </c>
      <c r="DN124" s="409">
        <v>0</v>
      </c>
      <c r="DO124" s="409">
        <v>-2.3476524263791099E-2</v>
      </c>
      <c r="DP124" s="409">
        <v>-4.1665342046491527E-2</v>
      </c>
      <c r="DQ124" s="409">
        <v>0</v>
      </c>
      <c r="DR124" s="409">
        <v>-0.7590042551144407</v>
      </c>
      <c r="DS124" s="409"/>
      <c r="DT124" s="409"/>
      <c r="DU124" s="409"/>
      <c r="DV124" s="409">
        <v>168.935872202295</v>
      </c>
      <c r="DW124" s="409">
        <v>0</v>
      </c>
      <c r="DX124" s="409">
        <v>0</v>
      </c>
      <c r="DY124" s="409">
        <v>-36.082959999999986</v>
      </c>
      <c r="DZ124" s="409">
        <v>3.4855200000000082</v>
      </c>
      <c r="EA124" s="409">
        <v>0</v>
      </c>
      <c r="EB124" s="409">
        <v>0</v>
      </c>
      <c r="EC124" s="409">
        <v>-38.724074341261058</v>
      </c>
      <c r="ED124" s="409">
        <v>0</v>
      </c>
      <c r="EE124" s="409">
        <v>0</v>
      </c>
      <c r="EF124" s="409">
        <v>0</v>
      </c>
      <c r="EG124" s="409">
        <v>0</v>
      </c>
      <c r="EH124" s="409">
        <v>0</v>
      </c>
      <c r="EI124" s="409">
        <v>0</v>
      </c>
      <c r="EJ124" s="409">
        <v>0</v>
      </c>
      <c r="EK124" s="409">
        <v>0</v>
      </c>
      <c r="EL124" s="409">
        <v>0</v>
      </c>
      <c r="EM124" s="409">
        <v>0</v>
      </c>
      <c r="EN124" s="409">
        <v>0</v>
      </c>
      <c r="EO124" s="409">
        <v>0</v>
      </c>
      <c r="EP124" s="409">
        <v>0</v>
      </c>
      <c r="EQ124" s="409">
        <v>0</v>
      </c>
      <c r="ER124" s="409">
        <v>0</v>
      </c>
      <c r="ES124" s="409">
        <v>0</v>
      </c>
      <c r="ET124" s="409">
        <v>0</v>
      </c>
      <c r="EU124" s="409">
        <v>0</v>
      </c>
      <c r="EV124" s="409">
        <v>254</v>
      </c>
      <c r="EW124" s="409">
        <v>0</v>
      </c>
      <c r="EX124" s="409">
        <v>0</v>
      </c>
      <c r="EY124" s="409">
        <v>0</v>
      </c>
      <c r="EZ124" s="409"/>
      <c r="FA124" s="409">
        <v>0</v>
      </c>
      <c r="FB124" s="409"/>
      <c r="FC124" s="409"/>
      <c r="FD124" s="409"/>
      <c r="FE124" s="409"/>
      <c r="FF124" s="409">
        <v>0</v>
      </c>
      <c r="FG124" s="409">
        <v>0</v>
      </c>
      <c r="FH124" s="409">
        <v>0</v>
      </c>
      <c r="FI124" s="409">
        <v>0</v>
      </c>
    </row>
    <row r="125" spans="1:165" s="874" customFormat="1">
      <c r="A125" s="409">
        <v>123</v>
      </c>
      <c r="B125" s="409" t="s">
        <v>1035</v>
      </c>
      <c r="C125" s="409" t="s">
        <v>2251</v>
      </c>
      <c r="D125" s="409" t="s">
        <v>596</v>
      </c>
      <c r="E125" s="409" t="s">
        <v>969</v>
      </c>
      <c r="F125" s="409" t="s">
        <v>1323</v>
      </c>
      <c r="G125" s="409" t="s">
        <v>1323</v>
      </c>
      <c r="H125" s="409" t="s">
        <v>1323</v>
      </c>
      <c r="I125" s="409" t="s">
        <v>972</v>
      </c>
      <c r="J125" s="409" t="s">
        <v>2245</v>
      </c>
      <c r="K125" s="835">
        <v>44440</v>
      </c>
      <c r="L125" s="409">
        <v>0</v>
      </c>
      <c r="M125" s="409">
        <v>0</v>
      </c>
      <c r="N125" s="409">
        <v>0.21299999999999999</v>
      </c>
      <c r="O125" s="409">
        <v>0.21299999999999999</v>
      </c>
      <c r="P125" s="409">
        <v>0.21299999999999999</v>
      </c>
      <c r="Q125" s="409">
        <v>0.21299999999999999</v>
      </c>
      <c r="R125" s="409"/>
      <c r="S125" s="409">
        <v>2773.91</v>
      </c>
      <c r="T125" s="409">
        <v>243.39</v>
      </c>
      <c r="U125" s="409"/>
      <c r="V125" s="409">
        <v>642.68489999999997</v>
      </c>
      <c r="W125" s="409">
        <v>642.68489999999997</v>
      </c>
      <c r="X125" s="409">
        <v>553.23981000000003</v>
      </c>
      <c r="Y125" s="409">
        <v>0</v>
      </c>
      <c r="Z125" s="409">
        <v>4.6111572090757651</v>
      </c>
      <c r="AA125" s="409">
        <v>0</v>
      </c>
      <c r="AB125" s="409">
        <v>0</v>
      </c>
      <c r="AC125" s="409">
        <v>0</v>
      </c>
      <c r="AD125" s="409">
        <v>153.46810160371422</v>
      </c>
      <c r="AE125" s="409">
        <v>427.2238234068185</v>
      </c>
      <c r="AF125" s="409">
        <v>51.841483142667954</v>
      </c>
      <c r="AG125" s="409">
        <v>0</v>
      </c>
      <c r="AH125" s="409">
        <v>0</v>
      </c>
      <c r="AI125" s="409">
        <v>0</v>
      </c>
      <c r="AJ125" s="409">
        <v>0</v>
      </c>
      <c r="AK125" s="409">
        <v>0</v>
      </c>
      <c r="AL125" s="409">
        <v>2.1638863458129687</v>
      </c>
      <c r="AM125" s="409"/>
      <c r="AN125" s="409">
        <v>0.14775352503589589</v>
      </c>
      <c r="AO125" s="409">
        <v>0</v>
      </c>
      <c r="AP125" s="409">
        <v>0</v>
      </c>
      <c r="AQ125" s="409">
        <v>0</v>
      </c>
      <c r="AR125" s="409">
        <v>0</v>
      </c>
      <c r="AS125" s="409">
        <v>0</v>
      </c>
      <c r="AT125" s="409">
        <v>0</v>
      </c>
      <c r="AU125" s="409">
        <v>0</v>
      </c>
      <c r="AV125" s="409">
        <v>0</v>
      </c>
      <c r="AW125" s="409">
        <v>0</v>
      </c>
      <c r="AX125" s="409">
        <v>0</v>
      </c>
      <c r="AY125" s="409">
        <v>0</v>
      </c>
      <c r="AZ125" s="409">
        <v>0</v>
      </c>
      <c r="BA125" s="409"/>
      <c r="BB125" s="409">
        <v>0</v>
      </c>
      <c r="BC125" s="409">
        <v>0</v>
      </c>
      <c r="BD125" s="409">
        <v>0</v>
      </c>
      <c r="BE125" s="409">
        <v>0</v>
      </c>
      <c r="BF125" s="409">
        <v>0</v>
      </c>
      <c r="BG125" s="409">
        <v>3.2288944623319256</v>
      </c>
      <c r="BH125" s="409">
        <v>0</v>
      </c>
      <c r="BI125" s="409">
        <v>0</v>
      </c>
      <c r="BJ125" s="409">
        <v>0</v>
      </c>
      <c r="BK125" s="409">
        <v>0</v>
      </c>
      <c r="BL125" s="409">
        <v>0</v>
      </c>
      <c r="BM125" s="409"/>
      <c r="BN125" s="409"/>
      <c r="BO125" s="409"/>
      <c r="BP125" s="409"/>
      <c r="BQ125" s="409"/>
      <c r="BR125" s="409"/>
      <c r="BS125" s="409"/>
      <c r="BT125" s="409"/>
      <c r="BU125" s="409"/>
      <c r="BV125" s="409">
        <v>55.070377604999877</v>
      </c>
      <c r="BW125" s="409"/>
      <c r="BX125" s="409"/>
      <c r="BY125" s="409"/>
      <c r="BZ125" s="409"/>
      <c r="CA125" s="409"/>
      <c r="CB125" s="409"/>
      <c r="CC125" s="409"/>
      <c r="CD125" s="409"/>
      <c r="CE125" s="409"/>
      <c r="CF125" s="409"/>
      <c r="CG125" s="409"/>
      <c r="CH125" s="409"/>
      <c r="CI125" s="409">
        <v>545.44769999999994</v>
      </c>
      <c r="CJ125" s="409">
        <v>-97.267200000000003</v>
      </c>
      <c r="CK125" s="409"/>
      <c r="CL125" s="409"/>
      <c r="CM125" s="409"/>
      <c r="CN125" s="409"/>
      <c r="CO125" s="409">
        <v>-91.247069999999965</v>
      </c>
      <c r="CP125" s="409">
        <v>1.8019800000000017</v>
      </c>
      <c r="CQ125" s="409">
        <v>30</v>
      </c>
      <c r="CR125" s="409">
        <v>8.4841170073869137</v>
      </c>
      <c r="CS125" s="409">
        <v>0</v>
      </c>
      <c r="CT125" s="409">
        <v>0</v>
      </c>
      <c r="CU125" s="409">
        <v>0</v>
      </c>
      <c r="CV125" s="409">
        <v>0</v>
      </c>
      <c r="CW125" s="409">
        <v>0</v>
      </c>
      <c r="CX125" s="409">
        <v>0</v>
      </c>
      <c r="CY125" s="409">
        <v>0</v>
      </c>
      <c r="CZ125" s="409">
        <v>5.7536140089667924</v>
      </c>
      <c r="DA125" s="409">
        <v>0</v>
      </c>
      <c r="DB125" s="409">
        <v>0</v>
      </c>
      <c r="DC125" s="409">
        <v>2.3748535086829818</v>
      </c>
      <c r="DD125" s="409">
        <v>0</v>
      </c>
      <c r="DE125" s="409">
        <v>0</v>
      </c>
      <c r="DF125" s="409">
        <v>0</v>
      </c>
      <c r="DG125" s="409">
        <v>0.14791535423348146</v>
      </c>
      <c r="DH125" s="409">
        <v>0</v>
      </c>
      <c r="DI125" s="409">
        <v>-3.3628619515889469E-2</v>
      </c>
      <c r="DJ125" s="409"/>
      <c r="DK125" s="409">
        <v>0</v>
      </c>
      <c r="DL125" s="409">
        <v>0</v>
      </c>
      <c r="DM125" s="409">
        <v>0</v>
      </c>
      <c r="DN125" s="409">
        <v>0</v>
      </c>
      <c r="DO125" s="409">
        <v>-1.2137135116959463E-2</v>
      </c>
      <c r="DP125" s="409">
        <v>-8.7031769810240189E-3</v>
      </c>
      <c r="DQ125" s="409">
        <v>0</v>
      </c>
      <c r="DR125" s="409">
        <v>0.26220306711752062</v>
      </c>
      <c r="DS125" s="409"/>
      <c r="DT125" s="409"/>
      <c r="DU125" s="409"/>
      <c r="DV125" s="409">
        <v>427.2238234068185</v>
      </c>
      <c r="DW125" s="409">
        <v>0</v>
      </c>
      <c r="DX125" s="409">
        <v>0</v>
      </c>
      <c r="DY125" s="409">
        <v>-91.247069999999951</v>
      </c>
      <c r="DZ125" s="409">
        <v>1.8019800000000075</v>
      </c>
      <c r="EA125" s="409">
        <v>0</v>
      </c>
      <c r="EB125" s="409">
        <v>0</v>
      </c>
      <c r="EC125" s="409">
        <v>-97.929746253966357</v>
      </c>
      <c r="ED125" s="409">
        <v>0</v>
      </c>
      <c r="EE125" s="409">
        <v>0</v>
      </c>
      <c r="EF125" s="409">
        <v>0</v>
      </c>
      <c r="EG125" s="409">
        <v>0</v>
      </c>
      <c r="EH125" s="409">
        <v>0</v>
      </c>
      <c r="EI125" s="409">
        <v>0</v>
      </c>
      <c r="EJ125" s="409">
        <v>0</v>
      </c>
      <c r="EK125" s="409">
        <v>0</v>
      </c>
      <c r="EL125" s="409">
        <v>0</v>
      </c>
      <c r="EM125" s="409">
        <v>0</v>
      </c>
      <c r="EN125" s="409">
        <v>0</v>
      </c>
      <c r="EO125" s="409">
        <v>0</v>
      </c>
      <c r="EP125" s="409">
        <v>0</v>
      </c>
      <c r="EQ125" s="409">
        <v>0</v>
      </c>
      <c r="ER125" s="409">
        <v>0</v>
      </c>
      <c r="ES125" s="409">
        <v>0</v>
      </c>
      <c r="ET125" s="409">
        <v>0</v>
      </c>
      <c r="EU125" s="409">
        <v>0</v>
      </c>
      <c r="EV125" s="409">
        <v>254</v>
      </c>
      <c r="EW125" s="409">
        <v>0</v>
      </c>
      <c r="EX125" s="409">
        <v>0</v>
      </c>
      <c r="EY125" s="409">
        <v>0</v>
      </c>
      <c r="EZ125" s="409"/>
      <c r="FA125" s="409">
        <v>0</v>
      </c>
      <c r="FB125" s="409"/>
      <c r="FC125" s="409"/>
      <c r="FD125" s="409"/>
      <c r="FE125" s="409"/>
      <c r="FF125" s="409">
        <v>0</v>
      </c>
      <c r="FG125" s="409">
        <v>0</v>
      </c>
      <c r="FH125" s="409">
        <v>0</v>
      </c>
      <c r="FI125" s="409">
        <v>0</v>
      </c>
    </row>
    <row r="126" spans="1:165" s="874" customFormat="1">
      <c r="A126" s="409">
        <v>124</v>
      </c>
      <c r="B126" s="409" t="s">
        <v>1035</v>
      </c>
      <c r="C126" s="409" t="s">
        <v>2251</v>
      </c>
      <c r="D126" s="409" t="s">
        <v>596</v>
      </c>
      <c r="E126" s="409" t="s">
        <v>969</v>
      </c>
      <c r="F126" s="409" t="s">
        <v>1323</v>
      </c>
      <c r="G126" s="409" t="s">
        <v>1323</v>
      </c>
      <c r="H126" s="409" t="s">
        <v>1323</v>
      </c>
      <c r="I126" s="409" t="s">
        <v>2237</v>
      </c>
      <c r="J126" s="409" t="s">
        <v>2245</v>
      </c>
      <c r="K126" s="835">
        <v>44440</v>
      </c>
      <c r="L126" s="409">
        <v>0</v>
      </c>
      <c r="M126" s="409">
        <v>0</v>
      </c>
      <c r="N126" s="409">
        <v>30.41</v>
      </c>
      <c r="O126" s="409">
        <v>30.41</v>
      </c>
      <c r="P126" s="409">
        <v>30.41</v>
      </c>
      <c r="Q126" s="409">
        <v>30.41</v>
      </c>
      <c r="R126" s="409"/>
      <c r="S126" s="409">
        <v>47.66</v>
      </c>
      <c r="T126" s="409">
        <v>243.39</v>
      </c>
      <c r="U126" s="409"/>
      <c r="V126" s="409">
        <v>8850.8305</v>
      </c>
      <c r="W126" s="409">
        <v>8850.8305</v>
      </c>
      <c r="X126" s="409">
        <v>9123.6082000000006</v>
      </c>
      <c r="Y126" s="409">
        <v>0</v>
      </c>
      <c r="Z126" s="409">
        <v>658.334698253493</v>
      </c>
      <c r="AA126" s="409">
        <v>0</v>
      </c>
      <c r="AB126" s="409">
        <v>0</v>
      </c>
      <c r="AC126" s="409">
        <v>0</v>
      </c>
      <c r="AD126" s="409">
        <v>0</v>
      </c>
      <c r="AE126" s="409">
        <v>0</v>
      </c>
      <c r="AF126" s="409">
        <v>7401.4061144062553</v>
      </c>
      <c r="AG126" s="409">
        <v>0</v>
      </c>
      <c r="AH126" s="409">
        <v>0</v>
      </c>
      <c r="AI126" s="409">
        <v>0</v>
      </c>
      <c r="AJ126" s="409">
        <v>0</v>
      </c>
      <c r="AK126" s="409">
        <v>0</v>
      </c>
      <c r="AL126" s="409">
        <v>308.93795200080933</v>
      </c>
      <c r="AM126" s="409"/>
      <c r="AN126" s="409">
        <v>21.094763832589646</v>
      </c>
      <c r="AO126" s="409">
        <v>0</v>
      </c>
      <c r="AP126" s="409">
        <v>0</v>
      </c>
      <c r="AQ126" s="409">
        <v>0</v>
      </c>
      <c r="AR126" s="409">
        <v>0</v>
      </c>
      <c r="AS126" s="409">
        <v>0</v>
      </c>
      <c r="AT126" s="409">
        <v>0</v>
      </c>
      <c r="AU126" s="409">
        <v>0</v>
      </c>
      <c r="AV126" s="409">
        <v>0</v>
      </c>
      <c r="AW126" s="409">
        <v>0</v>
      </c>
      <c r="AX126" s="409">
        <v>0</v>
      </c>
      <c r="AY126" s="409">
        <v>0</v>
      </c>
      <c r="AZ126" s="409">
        <v>0</v>
      </c>
      <c r="BA126" s="409"/>
      <c r="BB126" s="409">
        <v>0</v>
      </c>
      <c r="BC126" s="409">
        <v>0</v>
      </c>
      <c r="BD126" s="409">
        <v>0</v>
      </c>
      <c r="BE126" s="409">
        <v>0</v>
      </c>
      <c r="BF126" s="409">
        <v>0</v>
      </c>
      <c r="BG126" s="409">
        <v>460.98911079583968</v>
      </c>
      <c r="BH126" s="409">
        <v>0</v>
      </c>
      <c r="BI126" s="409">
        <v>0</v>
      </c>
      <c r="BJ126" s="409">
        <v>0</v>
      </c>
      <c r="BK126" s="409">
        <v>0</v>
      </c>
      <c r="BL126" s="409">
        <v>0</v>
      </c>
      <c r="BM126" s="409"/>
      <c r="BN126" s="409"/>
      <c r="BO126" s="409"/>
      <c r="BP126" s="409"/>
      <c r="BQ126" s="409"/>
      <c r="BR126" s="409"/>
      <c r="BS126" s="409"/>
      <c r="BT126" s="409"/>
      <c r="BU126" s="409"/>
      <c r="BV126" s="409">
        <v>7862.3952252020954</v>
      </c>
      <c r="BW126" s="409"/>
      <c r="BX126" s="409"/>
      <c r="BY126" s="409"/>
      <c r="BZ126" s="409"/>
      <c r="CA126" s="409"/>
      <c r="CB126" s="409"/>
      <c r="CC126" s="409"/>
      <c r="CD126" s="409"/>
      <c r="CE126" s="409"/>
      <c r="CF126" s="409"/>
      <c r="CG126" s="409"/>
      <c r="CH126" s="409"/>
      <c r="CI126" s="409">
        <v>9123.6082000000006</v>
      </c>
      <c r="CJ126" s="409">
        <v>272.7476999999999</v>
      </c>
      <c r="CK126" s="409"/>
      <c r="CL126" s="409"/>
      <c r="CM126" s="409"/>
      <c r="CN126" s="409"/>
      <c r="CO126" s="409">
        <v>15.509100000000156</v>
      </c>
      <c r="CP126" s="409">
        <v>257.26860000000022</v>
      </c>
      <c r="CQ126" s="409">
        <v>30</v>
      </c>
      <c r="CR126" s="409">
        <v>272.79234540021207</v>
      </c>
      <c r="CS126" s="409">
        <v>0</v>
      </c>
      <c r="CT126" s="409">
        <v>0</v>
      </c>
      <c r="CU126" s="409">
        <v>0</v>
      </c>
      <c r="CV126" s="409">
        <v>0</v>
      </c>
      <c r="CW126" s="409">
        <v>0</v>
      </c>
      <c r="CX126" s="409">
        <v>0</v>
      </c>
      <c r="CY126" s="409">
        <v>0</v>
      </c>
      <c r="CZ126" s="409">
        <v>0</v>
      </c>
      <c r="DA126" s="409">
        <v>0</v>
      </c>
      <c r="DB126" s="409">
        <v>0</v>
      </c>
      <c r="DC126" s="409">
        <v>339.05772393920051</v>
      </c>
      <c r="DD126" s="409">
        <v>0</v>
      </c>
      <c r="DE126" s="409">
        <v>0</v>
      </c>
      <c r="DF126" s="409">
        <v>0</v>
      </c>
      <c r="DG126" s="409">
        <v>21.117868179531399</v>
      </c>
      <c r="DH126" s="409">
        <v>0</v>
      </c>
      <c r="DI126" s="409">
        <v>-4.801156429474986</v>
      </c>
      <c r="DJ126" s="409"/>
      <c r="DK126" s="409">
        <v>0</v>
      </c>
      <c r="DL126" s="409">
        <v>0</v>
      </c>
      <c r="DM126" s="409">
        <v>0</v>
      </c>
      <c r="DN126" s="409">
        <v>0</v>
      </c>
      <c r="DO126" s="409">
        <v>-1.7328182108298051</v>
      </c>
      <c r="DP126" s="409">
        <v>-1.2425521689809429</v>
      </c>
      <c r="DQ126" s="409">
        <v>0</v>
      </c>
      <c r="DR126" s="409">
        <v>-79.606719909233291</v>
      </c>
      <c r="DS126" s="409"/>
      <c r="DT126" s="409"/>
      <c r="DU126" s="409"/>
      <c r="DV126" s="409">
        <v>0</v>
      </c>
      <c r="DW126" s="409">
        <v>0</v>
      </c>
      <c r="DX126" s="409">
        <v>0</v>
      </c>
      <c r="DY126" s="409">
        <v>15.509099999999989</v>
      </c>
      <c r="DZ126" s="409">
        <v>257.26860000000033</v>
      </c>
      <c r="EA126" s="409">
        <v>0</v>
      </c>
      <c r="EB126" s="409">
        <v>0</v>
      </c>
      <c r="EC126" s="409">
        <v>0</v>
      </c>
      <c r="ED126" s="409">
        <v>0</v>
      </c>
      <c r="EE126" s="409">
        <v>0</v>
      </c>
      <c r="EF126" s="409">
        <v>0</v>
      </c>
      <c r="EG126" s="409">
        <v>0</v>
      </c>
      <c r="EH126" s="409">
        <v>0</v>
      </c>
      <c r="EI126" s="409">
        <v>0</v>
      </c>
      <c r="EJ126" s="409">
        <v>0</v>
      </c>
      <c r="EK126" s="409">
        <v>0</v>
      </c>
      <c r="EL126" s="409">
        <v>0</v>
      </c>
      <c r="EM126" s="409">
        <v>0</v>
      </c>
      <c r="EN126" s="409">
        <v>0</v>
      </c>
      <c r="EO126" s="409">
        <v>0</v>
      </c>
      <c r="EP126" s="409">
        <v>0</v>
      </c>
      <c r="EQ126" s="409">
        <v>0</v>
      </c>
      <c r="ER126" s="409">
        <v>0</v>
      </c>
      <c r="ES126" s="409">
        <v>0</v>
      </c>
      <c r="ET126" s="409">
        <v>0</v>
      </c>
      <c r="EU126" s="409">
        <v>0</v>
      </c>
      <c r="EV126" s="409">
        <v>254</v>
      </c>
      <c r="EW126" s="409">
        <v>0</v>
      </c>
      <c r="EX126" s="409">
        <v>0</v>
      </c>
      <c r="EY126" s="409">
        <v>0</v>
      </c>
      <c r="EZ126" s="409"/>
      <c r="FA126" s="409">
        <v>0</v>
      </c>
      <c r="FB126" s="409"/>
      <c r="FC126" s="409"/>
      <c r="FD126" s="409"/>
      <c r="FE126" s="409"/>
      <c r="FF126" s="409">
        <v>0</v>
      </c>
      <c r="FG126" s="409">
        <v>0</v>
      </c>
      <c r="FH126" s="409">
        <v>0</v>
      </c>
      <c r="FI126" s="409">
        <v>0</v>
      </c>
    </row>
    <row r="127" spans="1:165" s="874" customFormat="1">
      <c r="A127" s="409">
        <v>125</v>
      </c>
      <c r="B127" s="409" t="s">
        <v>1035</v>
      </c>
      <c r="C127" s="409" t="s">
        <v>2251</v>
      </c>
      <c r="D127" s="409" t="s">
        <v>596</v>
      </c>
      <c r="E127" s="409" t="s">
        <v>969</v>
      </c>
      <c r="F127" s="409" t="s">
        <v>1323</v>
      </c>
      <c r="G127" s="409" t="s">
        <v>1323</v>
      </c>
      <c r="H127" s="409" t="s">
        <v>1323</v>
      </c>
      <c r="I127" s="409" t="s">
        <v>1323</v>
      </c>
      <c r="J127" s="409" t="s">
        <v>2245</v>
      </c>
      <c r="K127" s="835">
        <v>44440</v>
      </c>
      <c r="L127" s="409">
        <v>120</v>
      </c>
      <c r="M127" s="409">
        <v>120</v>
      </c>
      <c r="N127" s="409">
        <v>0</v>
      </c>
      <c r="O127" s="409">
        <v>0</v>
      </c>
      <c r="P127" s="409">
        <v>0</v>
      </c>
      <c r="Q127" s="409">
        <v>0</v>
      </c>
      <c r="R127" s="409">
        <v>50.27</v>
      </c>
      <c r="S127" s="409"/>
      <c r="T127" s="409"/>
      <c r="U127" s="409">
        <v>6032.4000000000005</v>
      </c>
      <c r="V127" s="409"/>
      <c r="W127" s="409">
        <v>6032.4000000000005</v>
      </c>
      <c r="X127" s="409">
        <v>5424</v>
      </c>
      <c r="Y127" s="409">
        <v>0</v>
      </c>
      <c r="Z127" s="409">
        <v>0</v>
      </c>
      <c r="AA127" s="409">
        <v>0</v>
      </c>
      <c r="AB127" s="409">
        <v>0</v>
      </c>
      <c r="AC127" s="409">
        <v>0</v>
      </c>
      <c r="AD127" s="409">
        <v>2875.1919811512239</v>
      </c>
      <c r="AE127" s="409">
        <v>3156.6615245067596</v>
      </c>
      <c r="AF127" s="409"/>
      <c r="AG127" s="409"/>
      <c r="AH127" s="409"/>
      <c r="AI127" s="409">
        <v>0</v>
      </c>
      <c r="AJ127" s="409">
        <v>0</v>
      </c>
      <c r="AK127" s="409">
        <v>0</v>
      </c>
      <c r="AL127" s="409">
        <v>0</v>
      </c>
      <c r="AM127" s="409"/>
      <c r="AN127" s="409">
        <v>0</v>
      </c>
      <c r="AO127" s="409">
        <v>0</v>
      </c>
      <c r="AP127" s="409">
        <v>0</v>
      </c>
      <c r="AQ127" s="409">
        <v>0</v>
      </c>
      <c r="AR127" s="409">
        <v>0</v>
      </c>
      <c r="AS127" s="409"/>
      <c r="AT127" s="409"/>
      <c r="AU127" s="409">
        <v>0</v>
      </c>
      <c r="AV127" s="409">
        <v>0</v>
      </c>
      <c r="AW127" s="409">
        <v>0</v>
      </c>
      <c r="AX127" s="409"/>
      <c r="AY127" s="409"/>
      <c r="AZ127" s="409">
        <v>0</v>
      </c>
      <c r="BA127" s="409"/>
      <c r="BB127" s="409">
        <v>0</v>
      </c>
      <c r="BC127" s="409">
        <v>0</v>
      </c>
      <c r="BD127" s="409">
        <v>0</v>
      </c>
      <c r="BE127" s="409">
        <v>0</v>
      </c>
      <c r="BF127" s="409"/>
      <c r="BG127" s="409">
        <v>0</v>
      </c>
      <c r="BH127" s="409">
        <v>0</v>
      </c>
      <c r="BI127" s="409">
        <v>0</v>
      </c>
      <c r="BJ127" s="409">
        <v>0</v>
      </c>
      <c r="BK127" s="409">
        <v>0</v>
      </c>
      <c r="BL127" s="409">
        <v>1</v>
      </c>
      <c r="BM127" s="409"/>
      <c r="BN127" s="409"/>
      <c r="BO127" s="409"/>
      <c r="BP127" s="409"/>
      <c r="BQ127" s="409"/>
      <c r="BR127" s="409"/>
      <c r="BS127" s="409"/>
      <c r="BT127" s="409"/>
      <c r="BU127" s="409"/>
      <c r="BV127" s="409">
        <v>0</v>
      </c>
      <c r="BW127" s="409"/>
      <c r="BX127" s="409"/>
      <c r="BY127" s="409"/>
      <c r="BZ127" s="409"/>
      <c r="CA127" s="409"/>
      <c r="CB127" s="409"/>
      <c r="CC127" s="409"/>
      <c r="CD127" s="409"/>
      <c r="CE127" s="409"/>
      <c r="CF127" s="409"/>
      <c r="CG127" s="409"/>
      <c r="CH127" s="409"/>
      <c r="CI127" s="409">
        <v>5424</v>
      </c>
      <c r="CJ127" s="409">
        <v>-608.4300000000012</v>
      </c>
      <c r="CK127" s="409"/>
      <c r="CL127" s="409"/>
      <c r="CM127" s="409"/>
      <c r="CN127" s="409"/>
      <c r="CO127" s="409">
        <v>-608.40000000000009</v>
      </c>
      <c r="CP127" s="409">
        <v>0</v>
      </c>
      <c r="CQ127" s="409">
        <v>30</v>
      </c>
      <c r="CR127" s="409">
        <v>116.30817949722041</v>
      </c>
      <c r="CS127" s="409">
        <v>0</v>
      </c>
      <c r="CT127" s="409">
        <v>0</v>
      </c>
      <c r="CU127" s="409">
        <v>0</v>
      </c>
      <c r="CV127" s="409">
        <v>0</v>
      </c>
      <c r="CW127" s="409"/>
      <c r="CX127" s="409"/>
      <c r="CY127" s="409"/>
      <c r="CZ127" s="409">
        <v>107.79272492689233</v>
      </c>
      <c r="DA127" s="409">
        <v>0</v>
      </c>
      <c r="DB127" s="409">
        <v>0</v>
      </c>
      <c r="DC127" s="409"/>
      <c r="DD127" s="409"/>
      <c r="DE127" s="409">
        <v>0</v>
      </c>
      <c r="DF127" s="409">
        <v>0</v>
      </c>
      <c r="DG127" s="409">
        <v>0</v>
      </c>
      <c r="DH127" s="409">
        <v>0</v>
      </c>
      <c r="DI127" s="409">
        <v>0</v>
      </c>
      <c r="DJ127" s="409"/>
      <c r="DK127" s="409">
        <v>0</v>
      </c>
      <c r="DL127" s="409">
        <v>0</v>
      </c>
      <c r="DM127" s="409"/>
      <c r="DN127" s="409">
        <v>0</v>
      </c>
      <c r="DO127" s="409">
        <v>0</v>
      </c>
      <c r="DP127" s="409">
        <v>0</v>
      </c>
      <c r="DQ127" s="409">
        <v>0</v>
      </c>
      <c r="DR127" s="409">
        <v>8.5154545703282878</v>
      </c>
      <c r="DS127" s="409"/>
      <c r="DT127" s="409"/>
      <c r="DU127" s="409">
        <v>3156.6615245067596</v>
      </c>
      <c r="DV127" s="409"/>
      <c r="DW127" s="409">
        <v>0</v>
      </c>
      <c r="DX127" s="409">
        <v>0</v>
      </c>
      <c r="DY127" s="409">
        <v>-608.40000000000055</v>
      </c>
      <c r="DZ127" s="409"/>
      <c r="EA127" s="409">
        <v>0</v>
      </c>
      <c r="EB127" s="409"/>
      <c r="EC127" s="409">
        <v>-723.58104854615976</v>
      </c>
      <c r="ED127" s="409"/>
      <c r="EE127" s="409">
        <v>0</v>
      </c>
      <c r="EF127" s="409">
        <v>0</v>
      </c>
      <c r="EG127" s="409"/>
      <c r="EH127" s="409">
        <v>0</v>
      </c>
      <c r="EI127" s="409">
        <v>0</v>
      </c>
      <c r="EJ127" s="409">
        <v>0</v>
      </c>
      <c r="EK127" s="409">
        <v>0</v>
      </c>
      <c r="EL127" s="409">
        <v>0</v>
      </c>
      <c r="EM127" s="409"/>
      <c r="EN127" s="409"/>
      <c r="EO127" s="409">
        <v>0</v>
      </c>
      <c r="EP127" s="409">
        <v>0</v>
      </c>
      <c r="EQ127" s="409"/>
      <c r="ER127" s="409">
        <v>0</v>
      </c>
      <c r="ES127" s="409"/>
      <c r="ET127" s="409">
        <v>0</v>
      </c>
      <c r="EU127" s="409"/>
      <c r="EV127" s="409">
        <v>254</v>
      </c>
      <c r="EW127" s="409"/>
      <c r="EX127" s="409"/>
      <c r="EY127" s="409"/>
      <c r="EZ127" s="409"/>
      <c r="FA127" s="409">
        <v>0</v>
      </c>
      <c r="FB127" s="409"/>
      <c r="FC127" s="409"/>
      <c r="FD127" s="409"/>
      <c r="FE127" s="409"/>
      <c r="FF127" s="409">
        <v>0</v>
      </c>
      <c r="FG127" s="409">
        <v>0</v>
      </c>
      <c r="FH127" s="409">
        <v>0</v>
      </c>
      <c r="FI127" s="409">
        <v>0</v>
      </c>
    </row>
    <row r="128" spans="1:165" s="874" customFormat="1">
      <c r="A128" s="409">
        <v>126</v>
      </c>
      <c r="B128" s="409" t="s">
        <v>1035</v>
      </c>
      <c r="C128" s="409" t="s">
        <v>2244</v>
      </c>
      <c r="D128" s="409" t="s">
        <v>1994</v>
      </c>
      <c r="E128" s="409" t="s">
        <v>997</v>
      </c>
      <c r="F128" s="409" t="s">
        <v>1323</v>
      </c>
      <c r="G128" s="409" t="s">
        <v>1323</v>
      </c>
      <c r="H128" s="409" t="s">
        <v>1323</v>
      </c>
      <c r="I128" s="409" t="s">
        <v>1323</v>
      </c>
      <c r="J128" s="409" t="s">
        <v>2245</v>
      </c>
      <c r="K128" s="835">
        <v>44440</v>
      </c>
      <c r="L128" s="409">
        <v>0</v>
      </c>
      <c r="M128" s="409">
        <v>0</v>
      </c>
      <c r="N128" s="409">
        <v>57.223999999999997</v>
      </c>
      <c r="O128" s="409">
        <v>57.223999999999997</v>
      </c>
      <c r="P128" s="409">
        <v>57.223999999999997</v>
      </c>
      <c r="Q128" s="409">
        <v>57.223999999999997</v>
      </c>
      <c r="R128" s="409"/>
      <c r="S128" s="409">
        <v>597.01</v>
      </c>
      <c r="T128" s="409">
        <v>243.39</v>
      </c>
      <c r="U128" s="409"/>
      <c r="V128" s="409">
        <v>48091.049599999998</v>
      </c>
      <c r="W128" s="409">
        <v>48091.049599999998</v>
      </c>
      <c r="X128" s="409">
        <v>43563.486720000001</v>
      </c>
      <c r="Y128" s="409">
        <v>0</v>
      </c>
      <c r="Z128" s="409">
        <v>1423.9321144684675</v>
      </c>
      <c r="AA128" s="409">
        <v>0</v>
      </c>
      <c r="AB128" s="409">
        <v>0</v>
      </c>
      <c r="AC128" s="409">
        <v>0</v>
      </c>
      <c r="AD128" s="409">
        <v>6706.0270904548515</v>
      </c>
      <c r="AE128" s="409">
        <v>23464.044541029441</v>
      </c>
      <c r="AF128" s="409">
        <v>13927.591696507186</v>
      </c>
      <c r="AG128" s="409">
        <v>0</v>
      </c>
      <c r="AH128" s="409">
        <v>0</v>
      </c>
      <c r="AI128" s="409">
        <v>0</v>
      </c>
      <c r="AJ128" s="409">
        <v>0</v>
      </c>
      <c r="AK128" s="409">
        <v>0</v>
      </c>
      <c r="AL128" s="409">
        <v>581.34381339343338</v>
      </c>
      <c r="AM128" s="409"/>
      <c r="AN128" s="409">
        <v>98.2462501470756</v>
      </c>
      <c r="AO128" s="409">
        <v>0</v>
      </c>
      <c r="AP128" s="409">
        <v>0</v>
      </c>
      <c r="AQ128" s="409">
        <v>0</v>
      </c>
      <c r="AR128" s="409">
        <v>0</v>
      </c>
      <c r="AS128" s="409">
        <v>0</v>
      </c>
      <c r="AT128" s="409">
        <v>0</v>
      </c>
      <c r="AU128" s="409">
        <v>0</v>
      </c>
      <c r="AV128" s="409">
        <v>0</v>
      </c>
      <c r="AW128" s="409">
        <v>0</v>
      </c>
      <c r="AX128" s="409">
        <v>0</v>
      </c>
      <c r="AY128" s="409">
        <v>0</v>
      </c>
      <c r="AZ128" s="409">
        <v>0</v>
      </c>
      <c r="BA128" s="409"/>
      <c r="BB128" s="409">
        <v>0</v>
      </c>
      <c r="BC128" s="409">
        <v>0</v>
      </c>
      <c r="BD128" s="409">
        <v>0</v>
      </c>
      <c r="BE128" s="409">
        <v>0</v>
      </c>
      <c r="BF128" s="409">
        <v>0</v>
      </c>
      <c r="BG128" s="409">
        <v>1889.4981020462496</v>
      </c>
      <c r="BH128" s="409">
        <v>0</v>
      </c>
      <c r="BI128" s="409">
        <v>75.459999999999994</v>
      </c>
      <c r="BJ128" s="409">
        <v>348.2</v>
      </c>
      <c r="BK128" s="409">
        <v>4419.01</v>
      </c>
      <c r="BL128" s="409">
        <v>208</v>
      </c>
      <c r="BM128" s="409"/>
      <c r="BN128" s="409"/>
      <c r="BO128" s="409"/>
      <c r="BP128" s="409"/>
      <c r="BQ128" s="409"/>
      <c r="BR128" s="409"/>
      <c r="BS128" s="409"/>
      <c r="BT128" s="409"/>
      <c r="BU128" s="409"/>
      <c r="BV128" s="409">
        <v>15817.089798553436</v>
      </c>
      <c r="BW128" s="409"/>
      <c r="BX128" s="409"/>
      <c r="BY128" s="409"/>
      <c r="BZ128" s="409"/>
      <c r="CA128" s="409"/>
      <c r="CB128" s="409"/>
      <c r="CC128" s="409"/>
      <c r="CD128" s="409"/>
      <c r="CE128" s="409"/>
      <c r="CF128" s="409"/>
      <c r="CG128" s="409"/>
      <c r="CH128" s="409"/>
      <c r="CI128" s="409">
        <v>43560.441599999998</v>
      </c>
      <c r="CJ128" s="409">
        <v>-4530.6380000000063</v>
      </c>
      <c r="CK128" s="409"/>
      <c r="CL128" s="409"/>
      <c r="CM128" s="409"/>
      <c r="CN128" s="409"/>
      <c r="CO128" s="409">
        <v>-5011.6779199999992</v>
      </c>
      <c r="CP128" s="409">
        <v>484.11504000000042</v>
      </c>
      <c r="CQ128" s="409">
        <v>30</v>
      </c>
      <c r="CR128" s="409">
        <v>851.13964797302106</v>
      </c>
      <c r="CS128" s="409">
        <v>0</v>
      </c>
      <c r="CT128" s="409">
        <v>0</v>
      </c>
      <c r="CU128" s="409">
        <v>0</v>
      </c>
      <c r="CV128" s="409">
        <v>0</v>
      </c>
      <c r="CW128" s="409">
        <v>0</v>
      </c>
      <c r="CX128" s="409">
        <v>0</v>
      </c>
      <c r="CY128" s="409">
        <v>0</v>
      </c>
      <c r="CZ128" s="409">
        <v>251.41310154331768</v>
      </c>
      <c r="DA128" s="409">
        <v>0</v>
      </c>
      <c r="DB128" s="409">
        <v>0</v>
      </c>
      <c r="DC128" s="409">
        <v>638.02167690551687</v>
      </c>
      <c r="DD128" s="409">
        <v>0</v>
      </c>
      <c r="DE128" s="409">
        <v>0</v>
      </c>
      <c r="DF128" s="409">
        <v>0</v>
      </c>
      <c r="DG128" s="409">
        <v>86.557731863981871</v>
      </c>
      <c r="DH128" s="409">
        <v>0</v>
      </c>
      <c r="DI128" s="409">
        <v>-10.38456706695456</v>
      </c>
      <c r="DJ128" s="409"/>
      <c r="DK128" s="409">
        <v>0</v>
      </c>
      <c r="DL128" s="409">
        <v>0</v>
      </c>
      <c r="DM128" s="409">
        <v>0</v>
      </c>
      <c r="DN128" s="409">
        <v>0</v>
      </c>
      <c r="DO128" s="409">
        <v>-3.2607296710464198</v>
      </c>
      <c r="DP128" s="409">
        <v>-5.7870328477388995</v>
      </c>
      <c r="DQ128" s="409">
        <v>0</v>
      </c>
      <c r="DR128" s="409">
        <v>-105.42053275405041</v>
      </c>
      <c r="DS128" s="409"/>
      <c r="DT128" s="409"/>
      <c r="DU128" s="409"/>
      <c r="DV128" s="409">
        <v>23464.044541029441</v>
      </c>
      <c r="DW128" s="409">
        <v>0</v>
      </c>
      <c r="DX128" s="409">
        <v>0</v>
      </c>
      <c r="DY128" s="409">
        <v>-5011.6779199999983</v>
      </c>
      <c r="DZ128" s="409">
        <v>484.11504000000059</v>
      </c>
      <c r="EA128" s="409">
        <v>0</v>
      </c>
      <c r="EB128" s="409">
        <v>0</v>
      </c>
      <c r="EC128" s="409">
        <v>-5378.5107526803986</v>
      </c>
      <c r="ED128" s="409">
        <v>0</v>
      </c>
      <c r="EE128" s="409">
        <v>0</v>
      </c>
      <c r="EF128" s="409">
        <v>0</v>
      </c>
      <c r="EG128" s="409">
        <v>0</v>
      </c>
      <c r="EH128" s="409">
        <v>0</v>
      </c>
      <c r="EI128" s="409">
        <v>0</v>
      </c>
      <c r="EJ128" s="409">
        <v>0</v>
      </c>
      <c r="EK128" s="409">
        <v>0</v>
      </c>
      <c r="EL128" s="409">
        <v>0</v>
      </c>
      <c r="EM128" s="409">
        <v>0</v>
      </c>
      <c r="EN128" s="409">
        <v>0</v>
      </c>
      <c r="EO128" s="409">
        <v>0</v>
      </c>
      <c r="EP128" s="409">
        <v>0</v>
      </c>
      <c r="EQ128" s="409">
        <v>0</v>
      </c>
      <c r="ER128" s="409">
        <v>0</v>
      </c>
      <c r="ES128" s="409">
        <v>0</v>
      </c>
      <c r="ET128" s="409">
        <v>0</v>
      </c>
      <c r="EU128" s="409">
        <v>0</v>
      </c>
      <c r="EV128" s="409">
        <v>254</v>
      </c>
      <c r="EW128" s="409">
        <v>0</v>
      </c>
      <c r="EX128" s="409">
        <v>0</v>
      </c>
      <c r="EY128" s="409">
        <v>0</v>
      </c>
      <c r="EZ128" s="409"/>
      <c r="FA128" s="409">
        <v>0</v>
      </c>
      <c r="FB128" s="409"/>
      <c r="FC128" s="409"/>
      <c r="FD128" s="409"/>
      <c r="FE128" s="409"/>
      <c r="FF128" s="409">
        <v>0</v>
      </c>
      <c r="FG128" s="409">
        <v>0</v>
      </c>
      <c r="FH128" s="409">
        <v>0</v>
      </c>
      <c r="FI128" s="409">
        <v>0</v>
      </c>
    </row>
    <row r="129" spans="1:165" s="874" customFormat="1">
      <c r="A129" s="409">
        <v>127</v>
      </c>
      <c r="B129" s="409" t="s">
        <v>2246</v>
      </c>
      <c r="C129" s="409" t="s">
        <v>2244</v>
      </c>
      <c r="D129" s="409" t="s">
        <v>1994</v>
      </c>
      <c r="E129" s="409" t="s">
        <v>997</v>
      </c>
      <c r="F129" s="409" t="s">
        <v>1323</v>
      </c>
      <c r="G129" s="409" t="s">
        <v>1323</v>
      </c>
      <c r="H129" s="409" t="s">
        <v>1323</v>
      </c>
      <c r="I129" s="409" t="s">
        <v>1323</v>
      </c>
      <c r="J129" s="409" t="s">
        <v>2245</v>
      </c>
      <c r="K129" s="835">
        <v>44440</v>
      </c>
      <c r="L129" s="409">
        <v>0</v>
      </c>
      <c r="M129" s="409">
        <v>0</v>
      </c>
      <c r="N129" s="409">
        <v>3.1739999999999999</v>
      </c>
      <c r="O129" s="409">
        <v>3.1739999999999999</v>
      </c>
      <c r="P129" s="409">
        <v>3.1739999999999999</v>
      </c>
      <c r="Q129" s="409">
        <v>3.1739999999999999</v>
      </c>
      <c r="R129" s="409"/>
      <c r="S129" s="409">
        <v>597.01</v>
      </c>
      <c r="T129" s="409">
        <v>243.39</v>
      </c>
      <c r="U129" s="409"/>
      <c r="V129" s="409">
        <v>2667.4295999999999</v>
      </c>
      <c r="W129" s="409">
        <v>2667.4295999999999</v>
      </c>
      <c r="X129" s="409">
        <v>2416.3027200000001</v>
      </c>
      <c r="Y129" s="409">
        <v>0</v>
      </c>
      <c r="Z129" s="409">
        <v>78.980157474537179</v>
      </c>
      <c r="AA129" s="409">
        <v>0</v>
      </c>
      <c r="AB129" s="409">
        <v>0</v>
      </c>
      <c r="AC129" s="409">
        <v>0</v>
      </c>
      <c r="AD129" s="409">
        <v>371.95809424548617</v>
      </c>
      <c r="AE129" s="409">
        <v>1301.4622775972921</v>
      </c>
      <c r="AF129" s="409">
        <v>772.51111499919284</v>
      </c>
      <c r="AG129" s="409">
        <v>0</v>
      </c>
      <c r="AH129" s="409">
        <v>0</v>
      </c>
      <c r="AI129" s="409">
        <v>0</v>
      </c>
      <c r="AJ129" s="409">
        <v>0</v>
      </c>
      <c r="AK129" s="409">
        <v>0</v>
      </c>
      <c r="AL129" s="409">
        <v>32.244954279860856</v>
      </c>
      <c r="AM129" s="409"/>
      <c r="AN129" s="409">
        <v>5.4493498875789523</v>
      </c>
      <c r="AO129" s="409">
        <v>0</v>
      </c>
      <c r="AP129" s="409">
        <v>0</v>
      </c>
      <c r="AQ129" s="409">
        <v>0</v>
      </c>
      <c r="AR129" s="409">
        <v>0</v>
      </c>
      <c r="AS129" s="409">
        <v>0</v>
      </c>
      <c r="AT129" s="409">
        <v>0</v>
      </c>
      <c r="AU129" s="409">
        <v>0</v>
      </c>
      <c r="AV129" s="409">
        <v>0</v>
      </c>
      <c r="AW129" s="409">
        <v>0</v>
      </c>
      <c r="AX129" s="409">
        <v>0</v>
      </c>
      <c r="AY129" s="409">
        <v>0</v>
      </c>
      <c r="AZ129" s="409">
        <v>0</v>
      </c>
      <c r="BA129" s="409"/>
      <c r="BB129" s="409">
        <v>0</v>
      </c>
      <c r="BC129" s="409">
        <v>0</v>
      </c>
      <c r="BD129" s="409">
        <v>0</v>
      </c>
      <c r="BE129" s="409">
        <v>0</v>
      </c>
      <c r="BF129" s="409">
        <v>0</v>
      </c>
      <c r="BG129" s="409">
        <v>104.80335131928555</v>
      </c>
      <c r="BH129" s="409">
        <v>0</v>
      </c>
      <c r="BI129" s="409">
        <v>0</v>
      </c>
      <c r="BJ129" s="409">
        <v>0</v>
      </c>
      <c r="BK129" s="409">
        <v>0</v>
      </c>
      <c r="BL129" s="409">
        <v>6</v>
      </c>
      <c r="BM129" s="409"/>
      <c r="BN129" s="409"/>
      <c r="BO129" s="409"/>
      <c r="BP129" s="409"/>
      <c r="BQ129" s="409"/>
      <c r="BR129" s="409"/>
      <c r="BS129" s="409"/>
      <c r="BT129" s="409"/>
      <c r="BU129" s="409"/>
      <c r="BV129" s="409">
        <v>877.31446631847837</v>
      </c>
      <c r="BW129" s="409"/>
      <c r="BX129" s="409"/>
      <c r="BY129" s="409"/>
      <c r="BZ129" s="409"/>
      <c r="CA129" s="409"/>
      <c r="CB129" s="409"/>
      <c r="CC129" s="409"/>
      <c r="CD129" s="409"/>
      <c r="CE129" s="409"/>
      <c r="CF129" s="409"/>
      <c r="CG129" s="409"/>
      <c r="CH129" s="409"/>
      <c r="CI129" s="409">
        <v>2413.2575999999999</v>
      </c>
      <c r="CJ129" s="409">
        <v>-254.20200000000023</v>
      </c>
      <c r="CK129" s="409"/>
      <c r="CL129" s="409"/>
      <c r="CM129" s="409"/>
      <c r="CN129" s="409"/>
      <c r="CO129" s="409">
        <v>-277.97891999999996</v>
      </c>
      <c r="CP129" s="409">
        <v>26.852040000000024</v>
      </c>
      <c r="CQ129" s="409">
        <v>30</v>
      </c>
      <c r="CR129" s="409">
        <v>47.209514236445784</v>
      </c>
      <c r="CS129" s="409">
        <v>0</v>
      </c>
      <c r="CT129" s="409">
        <v>0</v>
      </c>
      <c r="CU129" s="409">
        <v>0</v>
      </c>
      <c r="CV129" s="409">
        <v>0</v>
      </c>
      <c r="CW129" s="409">
        <v>0</v>
      </c>
      <c r="CX129" s="409">
        <v>0</v>
      </c>
      <c r="CY129" s="409">
        <v>0</v>
      </c>
      <c r="CZ129" s="409">
        <v>13.944938911968563</v>
      </c>
      <c r="DA129" s="409">
        <v>0</v>
      </c>
      <c r="DB129" s="409">
        <v>0</v>
      </c>
      <c r="DC129" s="409">
        <v>35.388662143473198</v>
      </c>
      <c r="DD129" s="409">
        <v>0</v>
      </c>
      <c r="DE129" s="409">
        <v>0</v>
      </c>
      <c r="DF129" s="409">
        <v>0</v>
      </c>
      <c r="DG129" s="409">
        <v>4.8010317512980407</v>
      </c>
      <c r="DH129" s="409">
        <v>0</v>
      </c>
      <c r="DI129" s="409">
        <v>-0.57599286786161485</v>
      </c>
      <c r="DJ129" s="409"/>
      <c r="DK129" s="409">
        <v>0</v>
      </c>
      <c r="DL129" s="409">
        <v>0</v>
      </c>
      <c r="DM129" s="409">
        <v>0</v>
      </c>
      <c r="DN129" s="409">
        <v>0</v>
      </c>
      <c r="DO129" s="409">
        <v>-0.18086040779919443</v>
      </c>
      <c r="DP129" s="409">
        <v>-0.32098494091156304</v>
      </c>
      <c r="DQ129" s="409">
        <v>0</v>
      </c>
      <c r="DR129" s="409">
        <v>-5.8472803537214455</v>
      </c>
      <c r="DS129" s="409"/>
      <c r="DT129" s="409"/>
      <c r="DU129" s="409"/>
      <c r="DV129" s="409">
        <v>1301.4622775972921</v>
      </c>
      <c r="DW129" s="409">
        <v>0</v>
      </c>
      <c r="DX129" s="409">
        <v>0</v>
      </c>
      <c r="DY129" s="409">
        <v>-277.97891999999979</v>
      </c>
      <c r="DZ129" s="409">
        <v>26.852039999999988</v>
      </c>
      <c r="EA129" s="409">
        <v>0</v>
      </c>
      <c r="EB129" s="409">
        <v>0</v>
      </c>
      <c r="EC129" s="409">
        <v>-298.32575718243345</v>
      </c>
      <c r="ED129" s="409">
        <v>0</v>
      </c>
      <c r="EE129" s="409">
        <v>0</v>
      </c>
      <c r="EF129" s="409">
        <v>0</v>
      </c>
      <c r="EG129" s="409">
        <v>0</v>
      </c>
      <c r="EH129" s="409">
        <v>0</v>
      </c>
      <c r="EI129" s="409">
        <v>0</v>
      </c>
      <c r="EJ129" s="409">
        <v>0</v>
      </c>
      <c r="EK129" s="409">
        <v>0</v>
      </c>
      <c r="EL129" s="409">
        <v>0</v>
      </c>
      <c r="EM129" s="409">
        <v>0</v>
      </c>
      <c r="EN129" s="409">
        <v>0</v>
      </c>
      <c r="EO129" s="409">
        <v>0</v>
      </c>
      <c r="EP129" s="409">
        <v>0</v>
      </c>
      <c r="EQ129" s="409">
        <v>0</v>
      </c>
      <c r="ER129" s="409">
        <v>0</v>
      </c>
      <c r="ES129" s="409">
        <v>0</v>
      </c>
      <c r="ET129" s="409">
        <v>0</v>
      </c>
      <c r="EU129" s="409">
        <v>0</v>
      </c>
      <c r="EV129" s="409">
        <v>254</v>
      </c>
      <c r="EW129" s="409">
        <v>0</v>
      </c>
      <c r="EX129" s="409">
        <v>0</v>
      </c>
      <c r="EY129" s="409">
        <v>0</v>
      </c>
      <c r="EZ129" s="409"/>
      <c r="FA129" s="409">
        <v>0</v>
      </c>
      <c r="FB129" s="409"/>
      <c r="FC129" s="409"/>
      <c r="FD129" s="409"/>
      <c r="FE129" s="409"/>
      <c r="FF129" s="409">
        <v>0</v>
      </c>
      <c r="FG129" s="409">
        <v>0</v>
      </c>
      <c r="FH129" s="409">
        <v>0</v>
      </c>
      <c r="FI129" s="409">
        <v>0</v>
      </c>
    </row>
    <row r="130" spans="1:165" s="874" customFormat="1">
      <c r="A130" s="409">
        <v>128</v>
      </c>
      <c r="B130" s="409" t="s">
        <v>1035</v>
      </c>
      <c r="C130" s="409" t="s">
        <v>2252</v>
      </c>
      <c r="D130" s="409" t="s">
        <v>1994</v>
      </c>
      <c r="E130" s="409" t="s">
        <v>997</v>
      </c>
      <c r="F130" s="409" t="s">
        <v>1323</v>
      </c>
      <c r="G130" s="409" t="s">
        <v>1323</v>
      </c>
      <c r="H130" s="409" t="s">
        <v>1323</v>
      </c>
      <c r="I130" s="409" t="s">
        <v>972</v>
      </c>
      <c r="J130" s="409" t="s">
        <v>2245</v>
      </c>
      <c r="K130" s="835">
        <v>44440</v>
      </c>
      <c r="L130" s="409">
        <v>0</v>
      </c>
      <c r="M130" s="409">
        <v>0</v>
      </c>
      <c r="N130" s="409">
        <v>1.2E-2</v>
      </c>
      <c r="O130" s="409">
        <v>1.2E-2</v>
      </c>
      <c r="P130" s="409">
        <v>1.2E-2</v>
      </c>
      <c r="Q130" s="409">
        <v>1.2E-2</v>
      </c>
      <c r="R130" s="409"/>
      <c r="S130" s="409">
        <v>1783.27</v>
      </c>
      <c r="T130" s="409">
        <v>243.39</v>
      </c>
      <c r="U130" s="409"/>
      <c r="V130" s="409">
        <v>24.31992</v>
      </c>
      <c r="W130" s="409">
        <v>24.31992</v>
      </c>
      <c r="X130" s="409">
        <v>20.971440000000001</v>
      </c>
      <c r="Y130" s="409">
        <v>0</v>
      </c>
      <c r="Z130" s="409">
        <v>0.29860172958237119</v>
      </c>
      <c r="AA130" s="409">
        <v>0</v>
      </c>
      <c r="AB130" s="409">
        <v>0</v>
      </c>
      <c r="AC130" s="409">
        <v>0</v>
      </c>
      <c r="AD130" s="409">
        <v>4.5703759872473402</v>
      </c>
      <c r="AE130" s="409">
        <v>15.9915089353344</v>
      </c>
      <c r="AF130" s="409">
        <v>2.9206469376150959</v>
      </c>
      <c r="AG130" s="409">
        <v>0</v>
      </c>
      <c r="AH130" s="409">
        <v>0</v>
      </c>
      <c r="AI130" s="409">
        <v>0</v>
      </c>
      <c r="AJ130" s="409">
        <v>0</v>
      </c>
      <c r="AK130" s="409">
        <v>0</v>
      </c>
      <c r="AL130" s="409">
        <v>0.121909089904956</v>
      </c>
      <c r="AM130" s="409"/>
      <c r="AN130" s="409">
        <v>2.0602457041886398E-2</v>
      </c>
      <c r="AO130" s="409">
        <v>0</v>
      </c>
      <c r="AP130" s="409">
        <v>0</v>
      </c>
      <c r="AQ130" s="409">
        <v>0</v>
      </c>
      <c r="AR130" s="409">
        <v>0</v>
      </c>
      <c r="AS130" s="409">
        <v>0</v>
      </c>
      <c r="AT130" s="409">
        <v>0</v>
      </c>
      <c r="AU130" s="409">
        <v>0</v>
      </c>
      <c r="AV130" s="409">
        <v>0</v>
      </c>
      <c r="AW130" s="409">
        <v>0</v>
      </c>
      <c r="AX130" s="409">
        <v>0</v>
      </c>
      <c r="AY130" s="409">
        <v>0</v>
      </c>
      <c r="AZ130" s="409">
        <v>0</v>
      </c>
      <c r="BA130" s="409"/>
      <c r="BB130" s="409">
        <v>0</v>
      </c>
      <c r="BC130" s="409">
        <v>0</v>
      </c>
      <c r="BD130" s="409">
        <v>0</v>
      </c>
      <c r="BE130" s="409">
        <v>0</v>
      </c>
      <c r="BF130" s="409">
        <v>0</v>
      </c>
      <c r="BG130" s="409">
        <v>0.39623195205779038</v>
      </c>
      <c r="BH130" s="409">
        <v>0</v>
      </c>
      <c r="BI130" s="409">
        <v>0</v>
      </c>
      <c r="BJ130" s="409">
        <v>0</v>
      </c>
      <c r="BK130" s="409">
        <v>0</v>
      </c>
      <c r="BL130" s="409">
        <v>0</v>
      </c>
      <c r="BM130" s="409"/>
      <c r="BN130" s="409"/>
      <c r="BO130" s="409"/>
      <c r="BP130" s="409"/>
      <c r="BQ130" s="409"/>
      <c r="BR130" s="409"/>
      <c r="BS130" s="409"/>
      <c r="BT130" s="409"/>
      <c r="BU130" s="409"/>
      <c r="BV130" s="409">
        <v>3.3168788896728865</v>
      </c>
      <c r="BW130" s="409"/>
      <c r="BX130" s="409"/>
      <c r="BY130" s="409"/>
      <c r="BZ130" s="409"/>
      <c r="CA130" s="409"/>
      <c r="CB130" s="409"/>
      <c r="CC130" s="409"/>
      <c r="CD130" s="409"/>
      <c r="CE130" s="409"/>
      <c r="CF130" s="409"/>
      <c r="CG130" s="409"/>
      <c r="CH130" s="409"/>
      <c r="CI130" s="409">
        <v>17.476200000000002</v>
      </c>
      <c r="CJ130" s="409">
        <v>-6.8737200000000023</v>
      </c>
      <c r="CK130" s="409"/>
      <c r="CL130" s="409"/>
      <c r="CM130" s="409"/>
      <c r="CN130" s="409"/>
      <c r="CO130" s="409">
        <v>-3.45</v>
      </c>
      <c r="CP130" s="409">
        <v>0.1015200000000001</v>
      </c>
      <c r="CQ130" s="409">
        <v>30</v>
      </c>
      <c r="CR130" s="409">
        <v>0.31720665516410662</v>
      </c>
      <c r="CS130" s="409">
        <v>0</v>
      </c>
      <c r="CT130" s="409">
        <v>0</v>
      </c>
      <c r="CU130" s="409">
        <v>0</v>
      </c>
      <c r="CV130" s="409">
        <v>0</v>
      </c>
      <c r="CW130" s="409">
        <v>0</v>
      </c>
      <c r="CX130" s="409">
        <v>0</v>
      </c>
      <c r="CY130" s="409">
        <v>0</v>
      </c>
      <c r="CZ130" s="409">
        <v>0.17134622134293576</v>
      </c>
      <c r="DA130" s="409">
        <v>0</v>
      </c>
      <c r="DB130" s="409">
        <v>0</v>
      </c>
      <c r="DC130" s="409">
        <v>0.13379456386946398</v>
      </c>
      <c r="DD130" s="409">
        <v>0</v>
      </c>
      <c r="DE130" s="409">
        <v>0</v>
      </c>
      <c r="DF130" s="409">
        <v>0</v>
      </c>
      <c r="DG130" s="409">
        <v>1.8151348776174026E-2</v>
      </c>
      <c r="DH130" s="409">
        <v>0</v>
      </c>
      <c r="DI130" s="409">
        <v>-2.1776667972083774E-3</v>
      </c>
      <c r="DJ130" s="409"/>
      <c r="DK130" s="409">
        <v>0</v>
      </c>
      <c r="DL130" s="409">
        <v>0</v>
      </c>
      <c r="DM130" s="409">
        <v>0</v>
      </c>
      <c r="DN130" s="409">
        <v>0</v>
      </c>
      <c r="DO130" s="409">
        <v>-6.8378226011039933E-4</v>
      </c>
      <c r="DP130" s="409">
        <v>-1.2135536518395572E-3</v>
      </c>
      <c r="DQ130" s="409">
        <v>0</v>
      </c>
      <c r="DR130" s="409">
        <v>-2.0104761153067197E-3</v>
      </c>
      <c r="DS130" s="409"/>
      <c r="DT130" s="409"/>
      <c r="DU130" s="409"/>
      <c r="DV130" s="409">
        <v>15.9915089353344</v>
      </c>
      <c r="DW130" s="409">
        <v>0</v>
      </c>
      <c r="DX130" s="409">
        <v>0</v>
      </c>
      <c r="DY130" s="409">
        <v>-3.4499999999999993</v>
      </c>
      <c r="DZ130" s="409">
        <v>0.10151999999999983</v>
      </c>
      <c r="EA130" s="409">
        <v>0</v>
      </c>
      <c r="EB130" s="409">
        <v>0</v>
      </c>
      <c r="EC130" s="409">
        <v>-3.66562987936212</v>
      </c>
      <c r="ED130" s="409">
        <v>0</v>
      </c>
      <c r="EE130" s="409">
        <v>0</v>
      </c>
      <c r="EF130" s="409">
        <v>0</v>
      </c>
      <c r="EG130" s="409">
        <v>0</v>
      </c>
      <c r="EH130" s="409">
        <v>0</v>
      </c>
      <c r="EI130" s="409">
        <v>0</v>
      </c>
      <c r="EJ130" s="409">
        <v>0</v>
      </c>
      <c r="EK130" s="409">
        <v>0</v>
      </c>
      <c r="EL130" s="409">
        <v>0</v>
      </c>
      <c r="EM130" s="409">
        <v>0</v>
      </c>
      <c r="EN130" s="409">
        <v>0</v>
      </c>
      <c r="EO130" s="409">
        <v>0</v>
      </c>
      <c r="EP130" s="409">
        <v>0</v>
      </c>
      <c r="EQ130" s="409">
        <v>0</v>
      </c>
      <c r="ER130" s="409">
        <v>0</v>
      </c>
      <c r="ES130" s="409">
        <v>0</v>
      </c>
      <c r="ET130" s="409">
        <v>0</v>
      </c>
      <c r="EU130" s="409">
        <v>0</v>
      </c>
      <c r="EV130" s="409">
        <v>254</v>
      </c>
      <c r="EW130" s="409">
        <v>0</v>
      </c>
      <c r="EX130" s="409">
        <v>0</v>
      </c>
      <c r="EY130" s="409">
        <v>0</v>
      </c>
      <c r="EZ130" s="409"/>
      <c r="FA130" s="409">
        <v>0</v>
      </c>
      <c r="FB130" s="409"/>
      <c r="FC130" s="409"/>
      <c r="FD130" s="409"/>
      <c r="FE130" s="409"/>
      <c r="FF130" s="409">
        <v>0</v>
      </c>
      <c r="FG130" s="409">
        <v>0</v>
      </c>
      <c r="FH130" s="409">
        <v>0</v>
      </c>
      <c r="FI130" s="409">
        <v>0</v>
      </c>
    </row>
    <row r="131" spans="1:165" s="874" customFormat="1">
      <c r="A131" s="409">
        <v>129</v>
      </c>
      <c r="B131" s="409" t="s">
        <v>1035</v>
      </c>
      <c r="C131" s="409" t="s">
        <v>2252</v>
      </c>
      <c r="D131" s="409" t="s">
        <v>1994</v>
      </c>
      <c r="E131" s="409" t="s">
        <v>997</v>
      </c>
      <c r="F131" s="409" t="s">
        <v>1323</v>
      </c>
      <c r="G131" s="409" t="s">
        <v>1323</v>
      </c>
      <c r="H131" s="409" t="s">
        <v>1323</v>
      </c>
      <c r="I131" s="409" t="s">
        <v>2237</v>
      </c>
      <c r="J131" s="409" t="s">
        <v>2245</v>
      </c>
      <c r="K131" s="835">
        <v>44440</v>
      </c>
      <c r="L131" s="409">
        <v>0</v>
      </c>
      <c r="M131" s="409">
        <v>0</v>
      </c>
      <c r="N131" s="409">
        <v>0.52200000000000002</v>
      </c>
      <c r="O131" s="409">
        <v>0.52200000000000002</v>
      </c>
      <c r="P131" s="409">
        <v>0.52200000000000002</v>
      </c>
      <c r="Q131" s="409">
        <v>0.52200000000000002</v>
      </c>
      <c r="R131" s="409"/>
      <c r="S131" s="409">
        <v>412.48</v>
      </c>
      <c r="T131" s="409">
        <v>243.39</v>
      </c>
      <c r="U131" s="409"/>
      <c r="V131" s="409">
        <v>342.36414000000002</v>
      </c>
      <c r="W131" s="409">
        <v>342.36414000000002</v>
      </c>
      <c r="X131" s="409">
        <v>317.29769999999996</v>
      </c>
      <c r="Y131" s="409">
        <v>0</v>
      </c>
      <c r="Z131" s="409">
        <v>12.989175236833148</v>
      </c>
      <c r="AA131" s="409">
        <v>0</v>
      </c>
      <c r="AB131" s="409">
        <v>0</v>
      </c>
      <c r="AC131" s="409">
        <v>0</v>
      </c>
      <c r="AD131" s="409">
        <v>39.762898882042059</v>
      </c>
      <c r="AE131" s="409">
        <v>139.12618646997305</v>
      </c>
      <c r="AF131" s="409">
        <v>127.04814178625668</v>
      </c>
      <c r="AG131" s="409">
        <v>0</v>
      </c>
      <c r="AH131" s="409">
        <v>0</v>
      </c>
      <c r="AI131" s="409">
        <v>0</v>
      </c>
      <c r="AJ131" s="409">
        <v>0</v>
      </c>
      <c r="AK131" s="409">
        <v>0</v>
      </c>
      <c r="AL131" s="409">
        <v>5.303045410865586</v>
      </c>
      <c r="AM131" s="409"/>
      <c r="AN131" s="409">
        <v>0.89620688132205839</v>
      </c>
      <c r="AO131" s="409">
        <v>0</v>
      </c>
      <c r="AP131" s="409">
        <v>0</v>
      </c>
      <c r="AQ131" s="409">
        <v>0</v>
      </c>
      <c r="AR131" s="409">
        <v>0</v>
      </c>
      <c r="AS131" s="409">
        <v>0</v>
      </c>
      <c r="AT131" s="409">
        <v>0</v>
      </c>
      <c r="AU131" s="409">
        <v>0</v>
      </c>
      <c r="AV131" s="409">
        <v>0</v>
      </c>
      <c r="AW131" s="409">
        <v>0</v>
      </c>
      <c r="AX131" s="409">
        <v>0</v>
      </c>
      <c r="AY131" s="409">
        <v>0</v>
      </c>
      <c r="AZ131" s="409">
        <v>0</v>
      </c>
      <c r="BA131" s="409"/>
      <c r="BB131" s="409">
        <v>0</v>
      </c>
      <c r="BC131" s="409">
        <v>0</v>
      </c>
      <c r="BD131" s="409">
        <v>0</v>
      </c>
      <c r="BE131" s="409">
        <v>0</v>
      </c>
      <c r="BF131" s="409">
        <v>0</v>
      </c>
      <c r="BG131" s="409">
        <v>17.236089914513883</v>
      </c>
      <c r="BH131" s="409">
        <v>0</v>
      </c>
      <c r="BI131" s="409">
        <v>0</v>
      </c>
      <c r="BJ131" s="409">
        <v>0</v>
      </c>
      <c r="BK131" s="409">
        <v>0</v>
      </c>
      <c r="BL131" s="409">
        <v>0</v>
      </c>
      <c r="BM131" s="409"/>
      <c r="BN131" s="409"/>
      <c r="BO131" s="409"/>
      <c r="BP131" s="409"/>
      <c r="BQ131" s="409"/>
      <c r="BR131" s="409"/>
      <c r="BS131" s="409"/>
      <c r="BT131" s="409"/>
      <c r="BU131" s="409"/>
      <c r="BV131" s="409">
        <v>144.28423170077056</v>
      </c>
      <c r="BW131" s="409"/>
      <c r="BX131" s="409"/>
      <c r="BY131" s="409"/>
      <c r="BZ131" s="409"/>
      <c r="CA131" s="409"/>
      <c r="CB131" s="409"/>
      <c r="CC131" s="409"/>
      <c r="CD131" s="409"/>
      <c r="CE131" s="409"/>
      <c r="CF131" s="409"/>
      <c r="CG131" s="409"/>
      <c r="CH131" s="409"/>
      <c r="CI131" s="409">
        <v>316.08199999999999</v>
      </c>
      <c r="CJ131" s="409">
        <v>-26.312139999999999</v>
      </c>
      <c r="CK131" s="409"/>
      <c r="CL131" s="409"/>
      <c r="CM131" s="409"/>
      <c r="CN131" s="409"/>
      <c r="CO131" s="409">
        <v>-29.48256000000001</v>
      </c>
      <c r="CP131" s="409">
        <v>4.4161200000000047</v>
      </c>
      <c r="CQ131" s="409">
        <v>30</v>
      </c>
      <c r="CR131" s="409">
        <v>6.8254844481969315</v>
      </c>
      <c r="CS131" s="409">
        <v>0</v>
      </c>
      <c r="CT131" s="409">
        <v>0</v>
      </c>
      <c r="CU131" s="409">
        <v>0</v>
      </c>
      <c r="CV131" s="409">
        <v>0</v>
      </c>
      <c r="CW131" s="409">
        <v>0</v>
      </c>
      <c r="CX131" s="409">
        <v>0</v>
      </c>
      <c r="CY131" s="409">
        <v>0</v>
      </c>
      <c r="CZ131" s="409">
        <v>1.4907356620309287</v>
      </c>
      <c r="DA131" s="409">
        <v>0</v>
      </c>
      <c r="DB131" s="409">
        <v>0</v>
      </c>
      <c r="DC131" s="409">
        <v>5.8200635283216968</v>
      </c>
      <c r="DD131" s="409">
        <v>0</v>
      </c>
      <c r="DE131" s="409">
        <v>0</v>
      </c>
      <c r="DF131" s="409">
        <v>0</v>
      </c>
      <c r="DG131" s="409">
        <v>0.78958367176356958</v>
      </c>
      <c r="DH131" s="409">
        <v>0</v>
      </c>
      <c r="DI131" s="409">
        <v>-9.4728505678565611E-2</v>
      </c>
      <c r="DJ131" s="409"/>
      <c r="DK131" s="409">
        <v>0</v>
      </c>
      <c r="DL131" s="409">
        <v>0</v>
      </c>
      <c r="DM131" s="409">
        <v>0</v>
      </c>
      <c r="DN131" s="409">
        <v>0</v>
      </c>
      <c r="DO131" s="409">
        <v>-2.9744528314802565E-2</v>
      </c>
      <c r="DP131" s="409">
        <v>-5.2789583855020861E-2</v>
      </c>
      <c r="DQ131" s="409">
        <v>0</v>
      </c>
      <c r="DR131" s="409">
        <v>-1.0976357960708341</v>
      </c>
      <c r="DS131" s="409"/>
      <c r="DT131" s="409"/>
      <c r="DU131" s="409"/>
      <c r="DV131" s="409">
        <v>139.12618646997305</v>
      </c>
      <c r="DW131" s="409">
        <v>0</v>
      </c>
      <c r="DX131" s="409">
        <v>0</v>
      </c>
      <c r="DY131" s="409">
        <v>-29.482560000000035</v>
      </c>
      <c r="DZ131" s="409">
        <v>4.4161200000000065</v>
      </c>
      <c r="EA131" s="409">
        <v>0</v>
      </c>
      <c r="EB131" s="409">
        <v>0</v>
      </c>
      <c r="EC131" s="409">
        <v>-31.890993413334684</v>
      </c>
      <c r="ED131" s="409">
        <v>0</v>
      </c>
      <c r="EE131" s="409">
        <v>0</v>
      </c>
      <c r="EF131" s="409">
        <v>0</v>
      </c>
      <c r="EG131" s="409">
        <v>0</v>
      </c>
      <c r="EH131" s="409">
        <v>0</v>
      </c>
      <c r="EI131" s="409">
        <v>0</v>
      </c>
      <c r="EJ131" s="409">
        <v>0</v>
      </c>
      <c r="EK131" s="409">
        <v>0</v>
      </c>
      <c r="EL131" s="409">
        <v>0</v>
      </c>
      <c r="EM131" s="409">
        <v>0</v>
      </c>
      <c r="EN131" s="409">
        <v>0</v>
      </c>
      <c r="EO131" s="409">
        <v>0</v>
      </c>
      <c r="EP131" s="409">
        <v>0</v>
      </c>
      <c r="EQ131" s="409">
        <v>0</v>
      </c>
      <c r="ER131" s="409">
        <v>0</v>
      </c>
      <c r="ES131" s="409">
        <v>0</v>
      </c>
      <c r="ET131" s="409">
        <v>0</v>
      </c>
      <c r="EU131" s="409">
        <v>0</v>
      </c>
      <c r="EV131" s="409">
        <v>254</v>
      </c>
      <c r="EW131" s="409">
        <v>0</v>
      </c>
      <c r="EX131" s="409">
        <v>0</v>
      </c>
      <c r="EY131" s="409">
        <v>0</v>
      </c>
      <c r="EZ131" s="409"/>
      <c r="FA131" s="409">
        <v>0</v>
      </c>
      <c r="FB131" s="409"/>
      <c r="FC131" s="409"/>
      <c r="FD131" s="409"/>
      <c r="FE131" s="409"/>
      <c r="FF131" s="409">
        <v>0</v>
      </c>
      <c r="FG131" s="409">
        <v>0</v>
      </c>
      <c r="FH131" s="409">
        <v>0</v>
      </c>
      <c r="FI131" s="409">
        <v>0</v>
      </c>
    </row>
    <row r="132" spans="1:165" s="874" customFormat="1">
      <c r="A132" s="409">
        <v>130</v>
      </c>
      <c r="B132" s="409" t="s">
        <v>1035</v>
      </c>
      <c r="C132" s="409" t="s">
        <v>2252</v>
      </c>
      <c r="D132" s="409" t="s">
        <v>1994</v>
      </c>
      <c r="E132" s="409" t="s">
        <v>997</v>
      </c>
      <c r="F132" s="409" t="s">
        <v>1323</v>
      </c>
      <c r="G132" s="409" t="s">
        <v>1323</v>
      </c>
      <c r="H132" s="409" t="s">
        <v>1323</v>
      </c>
      <c r="I132" s="409" t="s">
        <v>1323</v>
      </c>
      <c r="J132" s="409" t="s">
        <v>2245</v>
      </c>
      <c r="K132" s="835">
        <v>44440</v>
      </c>
      <c r="L132" s="409">
        <v>0</v>
      </c>
      <c r="M132" s="409">
        <v>0</v>
      </c>
      <c r="N132" s="409">
        <v>0</v>
      </c>
      <c r="O132" s="409">
        <v>0</v>
      </c>
      <c r="P132" s="409">
        <v>0</v>
      </c>
      <c r="Q132" s="409">
        <v>0</v>
      </c>
      <c r="R132" s="409"/>
      <c r="S132" s="409"/>
      <c r="T132" s="409"/>
      <c r="U132" s="409"/>
      <c r="V132" s="409"/>
      <c r="W132" s="409"/>
      <c r="X132" s="409"/>
      <c r="Y132" s="409"/>
      <c r="Z132" s="409"/>
      <c r="AA132" s="409">
        <v>0</v>
      </c>
      <c r="AB132" s="409"/>
      <c r="AC132" s="409"/>
      <c r="AD132" s="409"/>
      <c r="AE132" s="409"/>
      <c r="AF132" s="409"/>
      <c r="AG132" s="409"/>
      <c r="AH132" s="409"/>
      <c r="AI132" s="409"/>
      <c r="AJ132" s="409"/>
      <c r="AK132" s="409"/>
      <c r="AL132" s="409"/>
      <c r="AM132" s="409"/>
      <c r="AN132" s="409"/>
      <c r="AO132" s="409"/>
      <c r="AP132" s="409"/>
      <c r="AQ132" s="409"/>
      <c r="AR132" s="409"/>
      <c r="AS132" s="409"/>
      <c r="AT132" s="409"/>
      <c r="AU132" s="409"/>
      <c r="AV132" s="409"/>
      <c r="AW132" s="409"/>
      <c r="AX132" s="409"/>
      <c r="AY132" s="409"/>
      <c r="AZ132" s="409">
        <v>0</v>
      </c>
      <c r="BA132" s="409"/>
      <c r="BB132" s="409"/>
      <c r="BC132" s="409"/>
      <c r="BD132" s="409"/>
      <c r="BE132" s="409"/>
      <c r="BF132" s="409"/>
      <c r="BG132" s="409"/>
      <c r="BH132" s="409"/>
      <c r="BI132" s="409">
        <v>0</v>
      </c>
      <c r="BJ132" s="409">
        <v>0</v>
      </c>
      <c r="BK132" s="409">
        <v>0</v>
      </c>
      <c r="BL132" s="409">
        <v>1</v>
      </c>
      <c r="BM132" s="409"/>
      <c r="BN132" s="409"/>
      <c r="BO132" s="409"/>
      <c r="BP132" s="409"/>
      <c r="BQ132" s="409"/>
      <c r="BR132" s="409"/>
      <c r="BS132" s="409"/>
      <c r="BT132" s="409"/>
      <c r="BU132" s="409"/>
      <c r="BV132" s="409"/>
      <c r="BW132" s="409"/>
      <c r="BX132" s="409"/>
      <c r="BY132" s="409"/>
      <c r="BZ132" s="409"/>
      <c r="CA132" s="409"/>
      <c r="CB132" s="409"/>
      <c r="CC132" s="409"/>
      <c r="CD132" s="409"/>
      <c r="CE132" s="409"/>
      <c r="CF132" s="409"/>
      <c r="CG132" s="409"/>
      <c r="CH132" s="409"/>
      <c r="CI132" s="409"/>
      <c r="CJ132" s="409">
        <v>-0.03</v>
      </c>
      <c r="CK132" s="409"/>
      <c r="CL132" s="409"/>
      <c r="CM132" s="409"/>
      <c r="CN132" s="409"/>
      <c r="CO132" s="409">
        <v>0</v>
      </c>
      <c r="CP132" s="409">
        <v>0</v>
      </c>
      <c r="CQ132" s="409">
        <v>30</v>
      </c>
      <c r="CR132" s="409"/>
      <c r="CS132" s="409"/>
      <c r="CT132" s="409"/>
      <c r="CU132" s="409"/>
      <c r="CV132" s="409"/>
      <c r="CW132" s="409"/>
      <c r="CX132" s="409"/>
      <c r="CY132" s="409"/>
      <c r="CZ132" s="409"/>
      <c r="DA132" s="409"/>
      <c r="DB132" s="409"/>
      <c r="DC132" s="409"/>
      <c r="DD132" s="409"/>
      <c r="DE132" s="409"/>
      <c r="DF132" s="409"/>
      <c r="DG132" s="409"/>
      <c r="DH132" s="409"/>
      <c r="DI132" s="409"/>
      <c r="DJ132" s="409"/>
      <c r="DK132" s="409">
        <v>0</v>
      </c>
      <c r="DL132" s="409"/>
      <c r="DM132" s="409"/>
      <c r="DN132" s="409"/>
      <c r="DO132" s="409"/>
      <c r="DP132" s="409"/>
      <c r="DQ132" s="409"/>
      <c r="DR132" s="409"/>
      <c r="DS132" s="409"/>
      <c r="DT132" s="409"/>
      <c r="DU132" s="409"/>
      <c r="DV132" s="409"/>
      <c r="DW132" s="409"/>
      <c r="DX132" s="409"/>
      <c r="DY132" s="409"/>
      <c r="DZ132" s="409"/>
      <c r="EA132" s="409"/>
      <c r="EB132" s="409"/>
      <c r="EC132" s="409"/>
      <c r="ED132" s="409"/>
      <c r="EE132" s="409"/>
      <c r="EF132" s="409"/>
      <c r="EG132" s="409"/>
      <c r="EH132" s="409"/>
      <c r="EI132" s="409"/>
      <c r="EJ132" s="409"/>
      <c r="EK132" s="409"/>
      <c r="EL132" s="409"/>
      <c r="EM132" s="409"/>
      <c r="EN132" s="409"/>
      <c r="EO132" s="409"/>
      <c r="EP132" s="409"/>
      <c r="EQ132" s="409"/>
      <c r="ER132" s="409"/>
      <c r="ES132" s="409"/>
      <c r="ET132" s="409"/>
      <c r="EU132" s="409"/>
      <c r="EV132" s="409">
        <v>254</v>
      </c>
      <c r="EW132" s="409"/>
      <c r="EX132" s="409"/>
      <c r="EY132" s="409"/>
      <c r="EZ132" s="409"/>
      <c r="FA132" s="409">
        <v>0</v>
      </c>
      <c r="FB132" s="409"/>
      <c r="FC132" s="409"/>
      <c r="FD132" s="409"/>
      <c r="FE132" s="409"/>
      <c r="FF132" s="409">
        <v>0</v>
      </c>
      <c r="FG132" s="409">
        <v>0</v>
      </c>
      <c r="FH132" s="409">
        <v>0</v>
      </c>
      <c r="FI132" s="409">
        <v>0</v>
      </c>
    </row>
    <row r="133" spans="1:165">
      <c r="A133" s="409">
        <v>131</v>
      </c>
      <c r="B133" s="409" t="s">
        <v>1035</v>
      </c>
      <c r="C133" s="409" t="s">
        <v>2252</v>
      </c>
      <c r="D133" s="409" t="s">
        <v>1994</v>
      </c>
      <c r="E133" s="409" t="s">
        <v>997</v>
      </c>
      <c r="F133" s="409" t="s">
        <v>1323</v>
      </c>
      <c r="G133" s="409" t="s">
        <v>1323</v>
      </c>
      <c r="H133" s="409" t="s">
        <v>1323</v>
      </c>
      <c r="I133" s="409" t="s">
        <v>2253</v>
      </c>
      <c r="J133" s="409" t="s">
        <v>2245</v>
      </c>
      <c r="K133" s="835">
        <v>44440</v>
      </c>
      <c r="L133" s="409">
        <v>0</v>
      </c>
      <c r="M133" s="409">
        <v>0</v>
      </c>
      <c r="N133" s="409">
        <v>1.2E-2</v>
      </c>
      <c r="O133" s="409">
        <v>1.2E-2</v>
      </c>
      <c r="P133" s="409">
        <v>1.2E-2</v>
      </c>
      <c r="Q133" s="409">
        <v>1.2E-2</v>
      </c>
      <c r="R133" s="409"/>
      <c r="S133" s="409">
        <v>1097.8699999999999</v>
      </c>
      <c r="T133" s="409">
        <v>243.39</v>
      </c>
      <c r="U133" s="409"/>
      <c r="V133" s="409">
        <v>16.095119999999998</v>
      </c>
      <c r="W133" s="409">
        <v>16.095119999999998</v>
      </c>
      <c r="X133" s="409">
        <v>14.132759999999999</v>
      </c>
      <c r="Y133" s="409">
        <v>0</v>
      </c>
      <c r="Z133" s="409">
        <v>0.29860172958237119</v>
      </c>
      <c r="AA133" s="409">
        <v>0</v>
      </c>
      <c r="AB133" s="409">
        <v>0</v>
      </c>
      <c r="AC133" s="409">
        <v>0</v>
      </c>
      <c r="AD133" s="409">
        <v>2.7422466853047482</v>
      </c>
      <c r="AE133" s="409">
        <v>9.5949037859977935</v>
      </c>
      <c r="AF133" s="409">
        <v>2.9206469376150959</v>
      </c>
      <c r="AG133" s="409">
        <v>0</v>
      </c>
      <c r="AH133" s="409">
        <v>0</v>
      </c>
      <c r="AI133" s="409">
        <v>0</v>
      </c>
      <c r="AJ133" s="409">
        <v>0</v>
      </c>
      <c r="AK133" s="409">
        <v>0</v>
      </c>
      <c r="AL133" s="409">
        <v>0.121909089904956</v>
      </c>
      <c r="AM133" s="409"/>
      <c r="AN133" s="409">
        <v>2.0602457041886398E-2</v>
      </c>
      <c r="AO133" s="409">
        <v>0</v>
      </c>
      <c r="AP133" s="409">
        <v>0</v>
      </c>
      <c r="AQ133" s="409">
        <v>0</v>
      </c>
      <c r="AR133" s="409">
        <v>0</v>
      </c>
      <c r="AS133" s="409">
        <v>0</v>
      </c>
      <c r="AT133" s="409">
        <v>0</v>
      </c>
      <c r="AU133" s="409">
        <v>0</v>
      </c>
      <c r="AV133" s="409">
        <v>0</v>
      </c>
      <c r="AW133" s="409">
        <v>0</v>
      </c>
      <c r="AX133" s="409">
        <v>0</v>
      </c>
      <c r="AY133" s="409">
        <v>0</v>
      </c>
      <c r="AZ133" s="409">
        <v>0</v>
      </c>
      <c r="BA133" s="409"/>
      <c r="BB133" s="409">
        <v>0</v>
      </c>
      <c r="BC133" s="409">
        <v>0</v>
      </c>
      <c r="BD133" s="409">
        <v>0</v>
      </c>
      <c r="BE133" s="409">
        <v>0</v>
      </c>
      <c r="BF133" s="409">
        <v>0</v>
      </c>
      <c r="BG133" s="409">
        <v>0.39623195205779038</v>
      </c>
      <c r="BH133" s="409">
        <v>0</v>
      </c>
      <c r="BI133" s="409">
        <v>0</v>
      </c>
      <c r="BJ133" s="409">
        <v>0</v>
      </c>
      <c r="BK133" s="409">
        <v>0</v>
      </c>
      <c r="BL133" s="409">
        <v>0</v>
      </c>
      <c r="BM133" s="409"/>
      <c r="BN133" s="409"/>
      <c r="BO133" s="409"/>
      <c r="BP133" s="409"/>
      <c r="BQ133" s="409"/>
      <c r="BR133" s="409"/>
      <c r="BS133" s="409"/>
      <c r="BT133" s="409"/>
      <c r="BU133" s="409"/>
      <c r="BV133" s="409">
        <v>3.3168788896728865</v>
      </c>
      <c r="BW133" s="409"/>
      <c r="BX133" s="409"/>
      <c r="BY133" s="409"/>
      <c r="BZ133" s="409"/>
      <c r="CA133" s="409"/>
      <c r="CB133" s="409"/>
      <c r="CC133" s="409"/>
      <c r="CD133" s="409"/>
      <c r="CE133" s="409"/>
      <c r="CF133" s="409"/>
      <c r="CG133" s="409"/>
      <c r="CH133" s="409"/>
      <c r="CI133" s="409">
        <v>11.7773</v>
      </c>
      <c r="CJ133" s="409">
        <v>-4.3478199999999987</v>
      </c>
      <c r="CK133" s="409"/>
      <c r="CL133" s="409"/>
      <c r="CM133" s="409"/>
      <c r="CN133" s="409"/>
      <c r="CO133" s="409">
        <v>-2.0638799999999988</v>
      </c>
      <c r="CP133" s="409">
        <v>0.1015200000000001</v>
      </c>
      <c r="CQ133" s="409">
        <v>30</v>
      </c>
      <c r="CR133" s="409">
        <v>0.23705770848335472</v>
      </c>
      <c r="CS133" s="409">
        <v>0</v>
      </c>
      <c r="CT133" s="409">
        <v>0</v>
      </c>
      <c r="CU133" s="409">
        <v>0</v>
      </c>
      <c r="CV133" s="409">
        <v>0</v>
      </c>
      <c r="CW133" s="409">
        <v>0</v>
      </c>
      <c r="CX133" s="409">
        <v>0</v>
      </c>
      <c r="CY133" s="409">
        <v>0</v>
      </c>
      <c r="CZ133" s="409">
        <v>0.10280852359373993</v>
      </c>
      <c r="DA133" s="409">
        <v>0</v>
      </c>
      <c r="DB133" s="409">
        <v>0</v>
      </c>
      <c r="DC133" s="409">
        <v>0.13379456386946398</v>
      </c>
      <c r="DD133" s="409">
        <v>0</v>
      </c>
      <c r="DE133" s="409">
        <v>0</v>
      </c>
      <c r="DF133" s="409">
        <v>0</v>
      </c>
      <c r="DG133" s="409">
        <v>1.8151348776174026E-2</v>
      </c>
      <c r="DH133" s="409">
        <v>0</v>
      </c>
      <c r="DI133" s="409">
        <v>-2.1776667972083774E-3</v>
      </c>
      <c r="DJ133" s="409"/>
      <c r="DK133" s="409">
        <v>0</v>
      </c>
      <c r="DL133" s="409">
        <v>0</v>
      </c>
      <c r="DM133" s="409">
        <v>0</v>
      </c>
      <c r="DN133" s="409">
        <v>0</v>
      </c>
      <c r="DO133" s="409">
        <v>-6.8378226011039933E-4</v>
      </c>
      <c r="DP133" s="409">
        <v>-1.2135536518395572E-3</v>
      </c>
      <c r="DQ133" s="409">
        <v>0</v>
      </c>
      <c r="DR133" s="409">
        <v>-1.3621725046864198E-2</v>
      </c>
      <c r="DS133" s="409"/>
      <c r="DT133" s="409"/>
      <c r="DU133" s="409"/>
      <c r="DV133" s="409">
        <v>9.5949037859977935</v>
      </c>
      <c r="DW133" s="409">
        <v>0</v>
      </c>
      <c r="DX133" s="409">
        <v>0</v>
      </c>
      <c r="DY133" s="409">
        <v>-2.0638799999999993</v>
      </c>
      <c r="DZ133" s="409">
        <v>0.10151999999999983</v>
      </c>
      <c r="EA133" s="409">
        <v>0</v>
      </c>
      <c r="EB133" s="409">
        <v>0</v>
      </c>
      <c r="EC133" s="409">
        <v>-2.1993775665437285</v>
      </c>
      <c r="ED133" s="409">
        <v>0</v>
      </c>
      <c r="EE133" s="409">
        <v>0</v>
      </c>
      <c r="EF133" s="409">
        <v>0</v>
      </c>
      <c r="EG133" s="409">
        <v>0</v>
      </c>
      <c r="EH133" s="409">
        <v>0</v>
      </c>
      <c r="EI133" s="409">
        <v>0</v>
      </c>
      <c r="EJ133" s="409">
        <v>0</v>
      </c>
      <c r="EK133" s="409">
        <v>0</v>
      </c>
      <c r="EL133" s="409">
        <v>0</v>
      </c>
      <c r="EM133" s="409">
        <v>0</v>
      </c>
      <c r="EN133" s="409">
        <v>0</v>
      </c>
      <c r="EO133" s="409">
        <v>0</v>
      </c>
      <c r="EP133" s="409">
        <v>0</v>
      </c>
      <c r="EQ133" s="409">
        <v>0</v>
      </c>
      <c r="ER133" s="409">
        <v>0</v>
      </c>
      <c r="ES133" s="409">
        <v>0</v>
      </c>
      <c r="ET133" s="409">
        <v>0</v>
      </c>
      <c r="EU133" s="409">
        <v>0</v>
      </c>
      <c r="EV133" s="409">
        <v>254</v>
      </c>
      <c r="EW133" s="409">
        <v>0</v>
      </c>
      <c r="EX133" s="409">
        <v>0</v>
      </c>
      <c r="EY133" s="409">
        <v>0</v>
      </c>
      <c r="EZ133" s="409"/>
      <c r="FA133" s="409">
        <v>0</v>
      </c>
      <c r="FB133" s="409"/>
      <c r="FC133" s="409"/>
      <c r="FD133" s="409"/>
      <c r="FE133" s="409"/>
      <c r="FF133" s="409">
        <v>0</v>
      </c>
      <c r="FG133" s="409">
        <v>0</v>
      </c>
      <c r="FH133" s="409">
        <v>0</v>
      </c>
      <c r="FI133" s="409">
        <v>0</v>
      </c>
    </row>
    <row r="134" spans="1:165">
      <c r="A134" s="409">
        <v>132</v>
      </c>
      <c r="B134" s="409" t="s">
        <v>1035</v>
      </c>
      <c r="C134" s="409" t="s">
        <v>2244</v>
      </c>
      <c r="D134" s="409" t="s">
        <v>2254</v>
      </c>
      <c r="E134" s="409" t="s">
        <v>973</v>
      </c>
      <c r="F134" s="409" t="s">
        <v>1323</v>
      </c>
      <c r="G134" s="409" t="s">
        <v>1323</v>
      </c>
      <c r="H134" s="409" t="s">
        <v>1323</v>
      </c>
      <c r="I134" s="409" t="s">
        <v>1323</v>
      </c>
      <c r="J134" s="409" t="s">
        <v>2245</v>
      </c>
      <c r="K134" s="835">
        <v>44440</v>
      </c>
      <c r="L134" s="409">
        <v>0</v>
      </c>
      <c r="M134" s="409">
        <v>0</v>
      </c>
      <c r="N134" s="409">
        <v>186.982</v>
      </c>
      <c r="O134" s="409">
        <v>186.982</v>
      </c>
      <c r="P134" s="409">
        <v>186.982</v>
      </c>
      <c r="Q134" s="409">
        <v>186.982</v>
      </c>
      <c r="R134" s="409"/>
      <c r="S134" s="409">
        <v>597.01</v>
      </c>
      <c r="T134" s="409">
        <v>243.39</v>
      </c>
      <c r="U134" s="409"/>
      <c r="V134" s="409">
        <v>157139.6728</v>
      </c>
      <c r="W134" s="409">
        <v>157139.6728</v>
      </c>
      <c r="X134" s="409">
        <v>142345.65695999999</v>
      </c>
      <c r="Y134" s="409">
        <v>0</v>
      </c>
      <c r="Z134" s="409">
        <v>4652.7623833975777</v>
      </c>
      <c r="AA134" s="409">
        <v>0</v>
      </c>
      <c r="AB134" s="409">
        <v>0</v>
      </c>
      <c r="AC134" s="409">
        <v>0</v>
      </c>
      <c r="AD134" s="409">
        <v>21912.245865850502</v>
      </c>
      <c r="AE134" s="409">
        <v>76669.823437207582</v>
      </c>
      <c r="AF134" s="409">
        <v>45509.033807428823</v>
      </c>
      <c r="AG134" s="409">
        <v>0</v>
      </c>
      <c r="AH134" s="409">
        <v>0</v>
      </c>
      <c r="AI134" s="409">
        <v>0</v>
      </c>
      <c r="AJ134" s="409">
        <v>0</v>
      </c>
      <c r="AK134" s="409">
        <v>0</v>
      </c>
      <c r="AL134" s="409">
        <v>1899.5671207173734</v>
      </c>
      <c r="AM134" s="409"/>
      <c r="AN134" s="409">
        <v>321.02405188383358</v>
      </c>
      <c r="AO134" s="409">
        <v>0</v>
      </c>
      <c r="AP134" s="409">
        <v>0</v>
      </c>
      <c r="AQ134" s="409">
        <v>0</v>
      </c>
      <c r="AR134" s="409">
        <v>0</v>
      </c>
      <c r="AS134" s="409">
        <v>0</v>
      </c>
      <c r="AT134" s="409">
        <v>0</v>
      </c>
      <c r="AU134" s="409">
        <v>0</v>
      </c>
      <c r="AV134" s="409">
        <v>0</v>
      </c>
      <c r="AW134" s="409">
        <v>0</v>
      </c>
      <c r="AX134" s="409">
        <v>0</v>
      </c>
      <c r="AY134" s="409">
        <v>0</v>
      </c>
      <c r="AZ134" s="409">
        <v>0</v>
      </c>
      <c r="BA134" s="409"/>
      <c r="BB134" s="409">
        <v>0</v>
      </c>
      <c r="BC134" s="409">
        <v>0</v>
      </c>
      <c r="BD134" s="409">
        <v>0</v>
      </c>
      <c r="BE134" s="409">
        <v>0</v>
      </c>
      <c r="BF134" s="409">
        <v>0</v>
      </c>
      <c r="BG134" s="409">
        <v>6174.0202383058131</v>
      </c>
      <c r="BH134" s="409">
        <v>0</v>
      </c>
      <c r="BI134" s="409">
        <v>108.66</v>
      </c>
      <c r="BJ134" s="409">
        <v>501.72</v>
      </c>
      <c r="BK134" s="409">
        <v>0</v>
      </c>
      <c r="BL134" s="409">
        <v>1778</v>
      </c>
      <c r="BM134" s="409"/>
      <c r="BN134" s="409"/>
      <c r="BO134" s="409"/>
      <c r="BP134" s="409"/>
      <c r="BQ134" s="409"/>
      <c r="BR134" s="409">
        <v>17082.675519999997</v>
      </c>
      <c r="BS134" s="409"/>
      <c r="BT134" s="409"/>
      <c r="BU134" s="409"/>
      <c r="BV134" s="409">
        <v>51683.054045734636</v>
      </c>
      <c r="BW134" s="409"/>
      <c r="BX134" s="409"/>
      <c r="BY134" s="409"/>
      <c r="BZ134" s="409"/>
      <c r="CA134" s="409"/>
      <c r="CB134" s="409"/>
      <c r="CC134" s="409"/>
      <c r="CD134" s="409"/>
      <c r="CE134" s="409"/>
      <c r="CF134" s="409"/>
      <c r="CG134" s="409"/>
      <c r="CH134" s="409"/>
      <c r="CI134" s="409">
        <v>125261.6416</v>
      </c>
      <c r="CJ134" s="409">
        <v>-13020.926500000001</v>
      </c>
      <c r="CK134" s="409"/>
      <c r="CL134" s="409"/>
      <c r="CM134" s="409"/>
      <c r="CN134" s="409"/>
      <c r="CO134" s="409">
        <v>-16375.883559999997</v>
      </c>
      <c r="CP134" s="409">
        <v>1581.8677200000016</v>
      </c>
      <c r="CQ134" s="409">
        <v>30</v>
      </c>
      <c r="CR134" s="409">
        <v>2781.1371742152405</v>
      </c>
      <c r="CS134" s="409">
        <v>0</v>
      </c>
      <c r="CT134" s="409">
        <v>0</v>
      </c>
      <c r="CU134" s="409">
        <v>0</v>
      </c>
      <c r="CV134" s="409">
        <v>0</v>
      </c>
      <c r="CW134" s="409">
        <v>0</v>
      </c>
      <c r="CX134" s="409">
        <v>0</v>
      </c>
      <c r="CY134" s="409">
        <v>0</v>
      </c>
      <c r="CZ134" s="409">
        <v>821.50364449833432</v>
      </c>
      <c r="DA134" s="409">
        <v>0</v>
      </c>
      <c r="DB134" s="409">
        <v>0</v>
      </c>
      <c r="DC134" s="409">
        <v>2084.7645951200102</v>
      </c>
      <c r="DD134" s="409">
        <v>0</v>
      </c>
      <c r="DE134" s="409">
        <v>0</v>
      </c>
      <c r="DF134" s="409">
        <v>0</v>
      </c>
      <c r="DG134" s="409">
        <v>282.83129140554865</v>
      </c>
      <c r="DH134" s="409">
        <v>0</v>
      </c>
      <c r="DI134" s="409">
        <v>-33.932041089635277</v>
      </c>
      <c r="DJ134" s="409"/>
      <c r="DK134" s="409">
        <v>0</v>
      </c>
      <c r="DL134" s="409">
        <v>0</v>
      </c>
      <c r="DM134" s="409">
        <v>0</v>
      </c>
      <c r="DN134" s="409">
        <v>0</v>
      </c>
      <c r="DO134" s="409">
        <v>-10.654581213330175</v>
      </c>
      <c r="DP134" s="409">
        <v>-18.909390744022062</v>
      </c>
      <c r="DQ134" s="409">
        <v>0</v>
      </c>
      <c r="DR134" s="409">
        <v>-344.46634376167083</v>
      </c>
      <c r="DS134" s="409"/>
      <c r="DT134" s="409"/>
      <c r="DU134" s="409"/>
      <c r="DV134" s="409">
        <v>76669.823437207582</v>
      </c>
      <c r="DW134" s="409">
        <v>0</v>
      </c>
      <c r="DX134" s="409">
        <v>0</v>
      </c>
      <c r="DY134" s="409">
        <v>-16375.883559999987</v>
      </c>
      <c r="DZ134" s="409">
        <v>1581.867720000002</v>
      </c>
      <c r="EA134" s="409">
        <v>0</v>
      </c>
      <c r="EB134" s="409">
        <v>0</v>
      </c>
      <c r="EC134" s="409">
        <v>-17574.526379800176</v>
      </c>
      <c r="ED134" s="409">
        <v>0</v>
      </c>
      <c r="EE134" s="409">
        <v>0</v>
      </c>
      <c r="EF134" s="409">
        <v>0</v>
      </c>
      <c r="EG134" s="409">
        <v>0</v>
      </c>
      <c r="EH134" s="409">
        <v>0</v>
      </c>
      <c r="EI134" s="409">
        <v>0</v>
      </c>
      <c r="EJ134" s="409">
        <v>0</v>
      </c>
      <c r="EK134" s="409">
        <v>0</v>
      </c>
      <c r="EL134" s="409">
        <v>0</v>
      </c>
      <c r="EM134" s="409">
        <v>0</v>
      </c>
      <c r="EN134" s="409">
        <v>0</v>
      </c>
      <c r="EO134" s="409">
        <v>0</v>
      </c>
      <c r="EP134" s="409">
        <v>0</v>
      </c>
      <c r="EQ134" s="409">
        <v>0</v>
      </c>
      <c r="ER134" s="409">
        <v>0</v>
      </c>
      <c r="ES134" s="409">
        <v>0</v>
      </c>
      <c r="ET134" s="409">
        <v>0</v>
      </c>
      <c r="EU134" s="409">
        <v>0</v>
      </c>
      <c r="EV134" s="409">
        <v>254</v>
      </c>
      <c r="EW134" s="409">
        <v>0</v>
      </c>
      <c r="EX134" s="409">
        <v>0</v>
      </c>
      <c r="EY134" s="409">
        <v>0</v>
      </c>
      <c r="EZ134" s="409"/>
      <c r="FA134" s="409">
        <v>0</v>
      </c>
      <c r="FB134" s="409"/>
      <c r="FC134" s="409"/>
      <c r="FD134" s="409"/>
      <c r="FE134" s="409"/>
      <c r="FF134" s="409">
        <v>0</v>
      </c>
      <c r="FG134" s="409">
        <v>0</v>
      </c>
      <c r="FH134" s="409">
        <v>0</v>
      </c>
      <c r="FI134" s="409">
        <v>0</v>
      </c>
    </row>
    <row r="135" spans="1:165">
      <c r="A135" s="409">
        <v>133</v>
      </c>
      <c r="B135" s="409" t="s">
        <v>2246</v>
      </c>
      <c r="C135" s="409" t="s">
        <v>2244</v>
      </c>
      <c r="D135" s="409" t="s">
        <v>2254</v>
      </c>
      <c r="E135" s="409" t="s">
        <v>973</v>
      </c>
      <c r="F135" s="409" t="s">
        <v>1323</v>
      </c>
      <c r="G135" s="409" t="s">
        <v>1323</v>
      </c>
      <c r="H135" s="409" t="s">
        <v>1323</v>
      </c>
      <c r="I135" s="409" t="s">
        <v>1323</v>
      </c>
      <c r="J135" s="409" t="s">
        <v>2245</v>
      </c>
      <c r="K135" s="835">
        <v>44440</v>
      </c>
      <c r="L135" s="409">
        <v>0</v>
      </c>
      <c r="M135" s="409">
        <v>0</v>
      </c>
      <c r="N135" s="409">
        <v>3.367</v>
      </c>
      <c r="O135" s="409">
        <v>3.367</v>
      </c>
      <c r="P135" s="409">
        <v>3.367</v>
      </c>
      <c r="Q135" s="409">
        <v>3.367</v>
      </c>
      <c r="R135" s="409"/>
      <c r="S135" s="409">
        <v>597.01</v>
      </c>
      <c r="T135" s="409">
        <v>243.39</v>
      </c>
      <c r="U135" s="409"/>
      <c r="V135" s="409">
        <v>2829.6268</v>
      </c>
      <c r="W135" s="409">
        <v>2829.6268</v>
      </c>
      <c r="X135" s="409">
        <v>2563.2297600000002</v>
      </c>
      <c r="Y135" s="409">
        <v>0</v>
      </c>
      <c r="Z135" s="409">
        <v>83.782668625320326</v>
      </c>
      <c r="AA135" s="409">
        <v>0</v>
      </c>
      <c r="AB135" s="409">
        <v>0</v>
      </c>
      <c r="AC135" s="409">
        <v>0</v>
      </c>
      <c r="AD135" s="409">
        <v>394.57558390817638</v>
      </c>
      <c r="AE135" s="409">
        <v>1380.5997128765225</v>
      </c>
      <c r="AF135" s="409">
        <v>819.48485324583567</v>
      </c>
      <c r="AG135" s="409">
        <v>0</v>
      </c>
      <c r="AH135" s="409">
        <v>0</v>
      </c>
      <c r="AI135" s="409">
        <v>0</v>
      </c>
      <c r="AJ135" s="409">
        <v>0</v>
      </c>
      <c r="AK135" s="409">
        <v>0</v>
      </c>
      <c r="AL135" s="409">
        <v>34.20565880916557</v>
      </c>
      <c r="AM135" s="409"/>
      <c r="AN135" s="409">
        <v>5.7807060716692922</v>
      </c>
      <c r="AO135" s="409">
        <v>0</v>
      </c>
      <c r="AP135" s="409">
        <v>0</v>
      </c>
      <c r="AQ135" s="409">
        <v>0</v>
      </c>
      <c r="AR135" s="409">
        <v>0</v>
      </c>
      <c r="AS135" s="409">
        <v>0</v>
      </c>
      <c r="AT135" s="409">
        <v>0</v>
      </c>
      <c r="AU135" s="409">
        <v>0</v>
      </c>
      <c r="AV135" s="409">
        <v>0</v>
      </c>
      <c r="AW135" s="409">
        <v>0</v>
      </c>
      <c r="AX135" s="409">
        <v>0</v>
      </c>
      <c r="AY135" s="409">
        <v>0</v>
      </c>
      <c r="AZ135" s="409">
        <v>0</v>
      </c>
      <c r="BA135" s="409"/>
      <c r="BB135" s="409">
        <v>0</v>
      </c>
      <c r="BC135" s="409">
        <v>0</v>
      </c>
      <c r="BD135" s="409">
        <v>0</v>
      </c>
      <c r="BE135" s="409">
        <v>0</v>
      </c>
      <c r="BF135" s="409">
        <v>0</v>
      </c>
      <c r="BG135" s="409">
        <v>111.17608188154836</v>
      </c>
      <c r="BH135" s="409">
        <v>0</v>
      </c>
      <c r="BI135" s="409">
        <v>0</v>
      </c>
      <c r="BJ135" s="409">
        <v>0</v>
      </c>
      <c r="BK135" s="409">
        <v>0</v>
      </c>
      <c r="BL135" s="409">
        <v>7</v>
      </c>
      <c r="BM135" s="409"/>
      <c r="BN135" s="409"/>
      <c r="BO135" s="409"/>
      <c r="BP135" s="409"/>
      <c r="BQ135" s="409"/>
      <c r="BR135" s="409">
        <v>307.60911999999996</v>
      </c>
      <c r="BS135" s="409"/>
      <c r="BT135" s="409"/>
      <c r="BU135" s="409"/>
      <c r="BV135" s="409">
        <v>930.66093512738405</v>
      </c>
      <c r="BW135" s="409"/>
      <c r="BX135" s="409"/>
      <c r="BY135" s="409"/>
      <c r="BZ135" s="409"/>
      <c r="CA135" s="409"/>
      <c r="CB135" s="409"/>
      <c r="CC135" s="409"/>
      <c r="CD135" s="409"/>
      <c r="CE135" s="409"/>
      <c r="CF135" s="409"/>
      <c r="CG135" s="409"/>
      <c r="CH135" s="409"/>
      <c r="CI135" s="409">
        <v>2257.6304</v>
      </c>
      <c r="CJ135" s="409">
        <v>-232.4644500000004</v>
      </c>
      <c r="CK135" s="409"/>
      <c r="CL135" s="409"/>
      <c r="CM135" s="409"/>
      <c r="CN135" s="409"/>
      <c r="CO135" s="409">
        <v>-294.88185999999996</v>
      </c>
      <c r="CP135" s="409">
        <v>28.484820000000028</v>
      </c>
      <c r="CQ135" s="409">
        <v>30</v>
      </c>
      <c r="CR135" s="409">
        <v>50.080162077540763</v>
      </c>
      <c r="CS135" s="409">
        <v>0</v>
      </c>
      <c r="CT135" s="409">
        <v>0</v>
      </c>
      <c r="CU135" s="409">
        <v>0</v>
      </c>
      <c r="CV135" s="409">
        <v>0</v>
      </c>
      <c r="CW135" s="409">
        <v>0</v>
      </c>
      <c r="CX135" s="409">
        <v>0</v>
      </c>
      <c r="CY135" s="409">
        <v>0</v>
      </c>
      <c r="CZ135" s="409">
        <v>14.792882582419111</v>
      </c>
      <c r="DA135" s="409">
        <v>0</v>
      </c>
      <c r="DB135" s="409">
        <v>0</v>
      </c>
      <c r="DC135" s="409">
        <v>37.540524712373781</v>
      </c>
      <c r="DD135" s="409">
        <v>0</v>
      </c>
      <c r="DE135" s="409">
        <v>0</v>
      </c>
      <c r="DF135" s="409">
        <v>0</v>
      </c>
      <c r="DG135" s="409">
        <v>5.0929659441148232</v>
      </c>
      <c r="DH135" s="409">
        <v>0</v>
      </c>
      <c r="DI135" s="409">
        <v>-0.61101700885005528</v>
      </c>
      <c r="DJ135" s="409"/>
      <c r="DK135" s="409">
        <v>0</v>
      </c>
      <c r="DL135" s="409">
        <v>0</v>
      </c>
      <c r="DM135" s="409">
        <v>0</v>
      </c>
      <c r="DN135" s="409">
        <v>0</v>
      </c>
      <c r="DO135" s="409">
        <v>-0.19185790581597928</v>
      </c>
      <c r="DP135" s="409">
        <v>-0.34050292881198274</v>
      </c>
      <c r="DQ135" s="409">
        <v>0</v>
      </c>
      <c r="DR135" s="409">
        <v>-6.2028333178891319</v>
      </c>
      <c r="DS135" s="409"/>
      <c r="DT135" s="409"/>
      <c r="DU135" s="409"/>
      <c r="DV135" s="409">
        <v>1380.5997128765225</v>
      </c>
      <c r="DW135" s="409">
        <v>0</v>
      </c>
      <c r="DX135" s="409">
        <v>0</v>
      </c>
      <c r="DY135" s="409">
        <v>-294.88185999999996</v>
      </c>
      <c r="DZ135" s="409">
        <v>28.484820000000013</v>
      </c>
      <c r="EA135" s="409">
        <v>0</v>
      </c>
      <c r="EB135" s="409">
        <v>0</v>
      </c>
      <c r="EC135" s="409">
        <v>-316.46591822093683</v>
      </c>
      <c r="ED135" s="409">
        <v>0</v>
      </c>
      <c r="EE135" s="409">
        <v>0</v>
      </c>
      <c r="EF135" s="409">
        <v>0</v>
      </c>
      <c r="EG135" s="409">
        <v>0</v>
      </c>
      <c r="EH135" s="409">
        <v>0</v>
      </c>
      <c r="EI135" s="409">
        <v>0</v>
      </c>
      <c r="EJ135" s="409">
        <v>0</v>
      </c>
      <c r="EK135" s="409">
        <v>0</v>
      </c>
      <c r="EL135" s="409">
        <v>0</v>
      </c>
      <c r="EM135" s="409">
        <v>0</v>
      </c>
      <c r="EN135" s="409">
        <v>0</v>
      </c>
      <c r="EO135" s="409">
        <v>0</v>
      </c>
      <c r="EP135" s="409">
        <v>0</v>
      </c>
      <c r="EQ135" s="409">
        <v>0</v>
      </c>
      <c r="ER135" s="409">
        <v>0</v>
      </c>
      <c r="ES135" s="409">
        <v>0</v>
      </c>
      <c r="ET135" s="409">
        <v>0</v>
      </c>
      <c r="EU135" s="409">
        <v>0</v>
      </c>
      <c r="EV135" s="409">
        <v>254</v>
      </c>
      <c r="EW135" s="409">
        <v>0</v>
      </c>
      <c r="EX135" s="409">
        <v>0</v>
      </c>
      <c r="EY135" s="409">
        <v>0</v>
      </c>
      <c r="EZ135" s="409"/>
      <c r="FA135" s="409">
        <v>0</v>
      </c>
      <c r="FB135" s="409"/>
      <c r="FC135" s="409"/>
      <c r="FD135" s="409"/>
      <c r="FE135" s="409"/>
      <c r="FF135" s="409">
        <v>0</v>
      </c>
      <c r="FG135" s="409">
        <v>0</v>
      </c>
      <c r="FH135" s="409">
        <v>0</v>
      </c>
      <c r="FI135" s="409">
        <v>0</v>
      </c>
    </row>
    <row r="136" spans="1:165">
      <c r="A136" s="409">
        <v>134</v>
      </c>
      <c r="B136" s="409" t="s">
        <v>1035</v>
      </c>
      <c r="C136" s="409" t="s">
        <v>2252</v>
      </c>
      <c r="D136" s="409" t="s">
        <v>2254</v>
      </c>
      <c r="E136" s="409" t="s">
        <v>973</v>
      </c>
      <c r="F136" s="409" t="s">
        <v>1323</v>
      </c>
      <c r="G136" s="409" t="s">
        <v>1323</v>
      </c>
      <c r="H136" s="409" t="s">
        <v>1323</v>
      </c>
      <c r="I136" s="409" t="s">
        <v>972</v>
      </c>
      <c r="J136" s="409" t="s">
        <v>2245</v>
      </c>
      <c r="K136" s="835">
        <v>44440</v>
      </c>
      <c r="L136" s="409">
        <v>0</v>
      </c>
      <c r="M136" s="409">
        <v>0</v>
      </c>
      <c r="N136" s="409">
        <v>2.8000000000000001E-2</v>
      </c>
      <c r="O136" s="409">
        <v>2.8000000000000001E-2</v>
      </c>
      <c r="P136" s="409">
        <v>2.8000000000000001E-2</v>
      </c>
      <c r="Q136" s="409">
        <v>2.8000000000000001E-2</v>
      </c>
      <c r="R136" s="409"/>
      <c r="S136" s="409">
        <v>1298.56</v>
      </c>
      <c r="T136" s="409">
        <v>214.18</v>
      </c>
      <c r="U136" s="409"/>
      <c r="V136" s="409">
        <v>42.356719999999996</v>
      </c>
      <c r="W136" s="409">
        <v>42.356719999999996</v>
      </c>
      <c r="X136" s="409">
        <v>36.758680000000005</v>
      </c>
      <c r="Y136" s="409">
        <v>0</v>
      </c>
      <c r="Z136" s="409">
        <v>0.61312888474246918</v>
      </c>
      <c r="AA136" s="409">
        <v>0</v>
      </c>
      <c r="AB136" s="409">
        <v>0</v>
      </c>
      <c r="AC136" s="409">
        <v>0</v>
      </c>
      <c r="AD136" s="409">
        <v>7.6996697622972121</v>
      </c>
      <c r="AE136" s="409">
        <v>26.940642838220413</v>
      </c>
      <c r="AF136" s="409">
        <v>5.9970617119029956</v>
      </c>
      <c r="AG136" s="409">
        <v>0</v>
      </c>
      <c r="AH136" s="409">
        <v>0</v>
      </c>
      <c r="AI136" s="409">
        <v>0</v>
      </c>
      <c r="AJ136" s="409">
        <v>0</v>
      </c>
      <c r="AK136" s="409">
        <v>0</v>
      </c>
      <c r="AL136" s="409">
        <v>0.25031999793817605</v>
      </c>
      <c r="AM136" s="409"/>
      <c r="AN136" s="409">
        <v>4.2303711792673525E-2</v>
      </c>
      <c r="AO136" s="409">
        <v>0</v>
      </c>
      <c r="AP136" s="409">
        <v>0</v>
      </c>
      <c r="AQ136" s="409">
        <v>0</v>
      </c>
      <c r="AR136" s="409">
        <v>0</v>
      </c>
      <c r="AS136" s="409">
        <v>0</v>
      </c>
      <c r="AT136" s="409">
        <v>0</v>
      </c>
      <c r="AU136" s="409">
        <v>0</v>
      </c>
      <c r="AV136" s="409">
        <v>0</v>
      </c>
      <c r="AW136" s="409">
        <v>0</v>
      </c>
      <c r="AX136" s="409">
        <v>0</v>
      </c>
      <c r="AY136" s="409">
        <v>0</v>
      </c>
      <c r="AZ136" s="409">
        <v>0</v>
      </c>
      <c r="BA136" s="409"/>
      <c r="BB136" s="409">
        <v>0</v>
      </c>
      <c r="BC136" s="409">
        <v>0</v>
      </c>
      <c r="BD136" s="409">
        <v>0</v>
      </c>
      <c r="BE136" s="409">
        <v>0</v>
      </c>
      <c r="BF136" s="409">
        <v>0</v>
      </c>
      <c r="BG136" s="409">
        <v>0.81359627489199637</v>
      </c>
      <c r="BH136" s="409">
        <v>0</v>
      </c>
      <c r="BI136" s="409">
        <v>0</v>
      </c>
      <c r="BJ136" s="409">
        <v>0</v>
      </c>
      <c r="BK136" s="409">
        <v>0</v>
      </c>
      <c r="BL136" s="409">
        <v>0</v>
      </c>
      <c r="BM136" s="409"/>
      <c r="BN136" s="409"/>
      <c r="BO136" s="409"/>
      <c r="BP136" s="409"/>
      <c r="BQ136" s="409"/>
      <c r="BR136" s="409"/>
      <c r="BS136" s="409"/>
      <c r="BT136" s="409"/>
      <c r="BU136" s="409"/>
      <c r="BV136" s="409">
        <v>6.8106579867949923</v>
      </c>
      <c r="BW136" s="409"/>
      <c r="BX136" s="409"/>
      <c r="BY136" s="409"/>
      <c r="BZ136" s="409"/>
      <c r="CA136" s="409"/>
      <c r="CB136" s="409"/>
      <c r="CC136" s="409"/>
      <c r="CD136" s="409"/>
      <c r="CE136" s="409"/>
      <c r="CF136" s="409"/>
      <c r="CG136" s="409"/>
      <c r="CH136" s="409"/>
      <c r="CI136" s="409">
        <v>39.384299999999996</v>
      </c>
      <c r="CJ136" s="409">
        <v>-3.0024199999999936</v>
      </c>
      <c r="CK136" s="409"/>
      <c r="CL136" s="409"/>
      <c r="CM136" s="409"/>
      <c r="CN136" s="409"/>
      <c r="CO136" s="409">
        <v>-5.8066399999999971</v>
      </c>
      <c r="CP136" s="409">
        <v>0.20859999999999967</v>
      </c>
      <c r="CQ136" s="409">
        <v>30</v>
      </c>
      <c r="CR136" s="409">
        <v>0.577464295145381</v>
      </c>
      <c r="CS136" s="409">
        <v>0</v>
      </c>
      <c r="CT136" s="409">
        <v>0</v>
      </c>
      <c r="CU136" s="409">
        <v>0</v>
      </c>
      <c r="CV136" s="409">
        <v>0</v>
      </c>
      <c r="CW136" s="409">
        <v>0</v>
      </c>
      <c r="CX136" s="409">
        <v>0</v>
      </c>
      <c r="CY136" s="409">
        <v>0</v>
      </c>
      <c r="CZ136" s="409">
        <v>0.28866537961853211</v>
      </c>
      <c r="DA136" s="409">
        <v>0</v>
      </c>
      <c r="DB136" s="409">
        <v>0</v>
      </c>
      <c r="DC136" s="409">
        <v>0.27472483781195667</v>
      </c>
      <c r="DD136" s="409">
        <v>0</v>
      </c>
      <c r="DE136" s="409">
        <v>0</v>
      </c>
      <c r="DF136" s="409">
        <v>0</v>
      </c>
      <c r="DG136" s="409">
        <v>3.7270769487078415E-2</v>
      </c>
      <c r="DH136" s="409">
        <v>0</v>
      </c>
      <c r="DI136" s="409">
        <v>-4.4714758236007457E-3</v>
      </c>
      <c r="DJ136" s="409"/>
      <c r="DK136" s="409">
        <v>0</v>
      </c>
      <c r="DL136" s="409">
        <v>0</v>
      </c>
      <c r="DM136" s="409">
        <v>0</v>
      </c>
      <c r="DN136" s="409">
        <v>0</v>
      </c>
      <c r="DO136" s="409">
        <v>-1.4040329074254121E-3</v>
      </c>
      <c r="DP136" s="409">
        <v>-2.4918301651107241E-3</v>
      </c>
      <c r="DQ136" s="409">
        <v>0</v>
      </c>
      <c r="DR136" s="409">
        <v>-1.4829352876049036E-2</v>
      </c>
      <c r="DS136" s="409"/>
      <c r="DT136" s="409"/>
      <c r="DU136" s="409"/>
      <c r="DV136" s="409">
        <v>26.940642838220413</v>
      </c>
      <c r="DW136" s="409">
        <v>0</v>
      </c>
      <c r="DX136" s="409">
        <v>0</v>
      </c>
      <c r="DY136" s="409">
        <v>-5.8066399999999945</v>
      </c>
      <c r="DZ136" s="409">
        <v>0.20859999999999967</v>
      </c>
      <c r="EA136" s="409">
        <v>0</v>
      </c>
      <c r="EB136" s="409">
        <v>0</v>
      </c>
      <c r="EC136" s="409">
        <v>-6.1754288326599394</v>
      </c>
      <c r="ED136" s="409">
        <v>0</v>
      </c>
      <c r="EE136" s="409">
        <v>0</v>
      </c>
      <c r="EF136" s="409">
        <v>0</v>
      </c>
      <c r="EG136" s="409">
        <v>0</v>
      </c>
      <c r="EH136" s="409">
        <v>0</v>
      </c>
      <c r="EI136" s="409">
        <v>0</v>
      </c>
      <c r="EJ136" s="409">
        <v>0</v>
      </c>
      <c r="EK136" s="409">
        <v>0</v>
      </c>
      <c r="EL136" s="409">
        <v>0</v>
      </c>
      <c r="EM136" s="409">
        <v>0</v>
      </c>
      <c r="EN136" s="409">
        <v>0</v>
      </c>
      <c r="EO136" s="409">
        <v>0</v>
      </c>
      <c r="EP136" s="409">
        <v>0</v>
      </c>
      <c r="EQ136" s="409">
        <v>0</v>
      </c>
      <c r="ER136" s="409">
        <v>0</v>
      </c>
      <c r="ES136" s="409">
        <v>0</v>
      </c>
      <c r="ET136" s="409">
        <v>0</v>
      </c>
      <c r="EU136" s="409">
        <v>0</v>
      </c>
      <c r="EV136" s="409">
        <v>254</v>
      </c>
      <c r="EW136" s="409">
        <v>0</v>
      </c>
      <c r="EX136" s="409">
        <v>0</v>
      </c>
      <c r="EY136" s="409">
        <v>0</v>
      </c>
      <c r="EZ136" s="409"/>
      <c r="FA136" s="409">
        <v>0</v>
      </c>
      <c r="FB136" s="409"/>
      <c r="FC136" s="409"/>
      <c r="FD136" s="409"/>
      <c r="FE136" s="409"/>
      <c r="FF136" s="409">
        <v>0</v>
      </c>
      <c r="FG136" s="409">
        <v>0</v>
      </c>
      <c r="FH136" s="409">
        <v>0</v>
      </c>
      <c r="FI136" s="409">
        <v>0</v>
      </c>
    </row>
    <row r="137" spans="1:165">
      <c r="A137" s="409">
        <v>135</v>
      </c>
      <c r="B137" s="409" t="s">
        <v>1035</v>
      </c>
      <c r="C137" s="409" t="s">
        <v>2252</v>
      </c>
      <c r="D137" s="409" t="s">
        <v>2254</v>
      </c>
      <c r="E137" s="409" t="s">
        <v>973</v>
      </c>
      <c r="F137" s="409" t="s">
        <v>1323</v>
      </c>
      <c r="G137" s="409" t="s">
        <v>1323</v>
      </c>
      <c r="H137" s="409" t="s">
        <v>1323</v>
      </c>
      <c r="I137" s="409" t="s">
        <v>2237</v>
      </c>
      <c r="J137" s="409" t="s">
        <v>2245</v>
      </c>
      <c r="K137" s="835">
        <v>44440</v>
      </c>
      <c r="L137" s="409">
        <v>0</v>
      </c>
      <c r="M137" s="409">
        <v>0</v>
      </c>
      <c r="N137" s="409">
        <v>0.7</v>
      </c>
      <c r="O137" s="409">
        <v>0.7</v>
      </c>
      <c r="P137" s="409">
        <v>0.7</v>
      </c>
      <c r="Q137" s="409">
        <v>0.7</v>
      </c>
      <c r="R137" s="409"/>
      <c r="S137" s="409">
        <v>308.83999999999997</v>
      </c>
      <c r="T137" s="409">
        <v>214.18</v>
      </c>
      <c r="U137" s="409"/>
      <c r="V137" s="409">
        <v>366.11399999999992</v>
      </c>
      <c r="W137" s="409">
        <v>366.11399999999992</v>
      </c>
      <c r="X137" s="409">
        <v>342.923</v>
      </c>
      <c r="Y137" s="409">
        <v>0</v>
      </c>
      <c r="Z137" s="409">
        <v>15.32822211856173</v>
      </c>
      <c r="AA137" s="409">
        <v>0</v>
      </c>
      <c r="AB137" s="409">
        <v>0</v>
      </c>
      <c r="AC137" s="409">
        <v>0</v>
      </c>
      <c r="AD137" s="409">
        <v>38.499445830242038</v>
      </c>
      <c r="AE137" s="409">
        <v>134.70328350002791</v>
      </c>
      <c r="AF137" s="409">
        <v>149.92654279757488</v>
      </c>
      <c r="AG137" s="409">
        <v>0</v>
      </c>
      <c r="AH137" s="409">
        <v>0</v>
      </c>
      <c r="AI137" s="409">
        <v>0</v>
      </c>
      <c r="AJ137" s="409">
        <v>0</v>
      </c>
      <c r="AK137" s="409">
        <v>0</v>
      </c>
      <c r="AL137" s="409">
        <v>6.2579999484544011</v>
      </c>
      <c r="AM137" s="409"/>
      <c r="AN137" s="409">
        <v>1.057592794816838</v>
      </c>
      <c r="AO137" s="409">
        <v>0</v>
      </c>
      <c r="AP137" s="409">
        <v>0</v>
      </c>
      <c r="AQ137" s="409">
        <v>0</v>
      </c>
      <c r="AR137" s="409">
        <v>0</v>
      </c>
      <c r="AS137" s="409">
        <v>0</v>
      </c>
      <c r="AT137" s="409">
        <v>0</v>
      </c>
      <c r="AU137" s="409">
        <v>0</v>
      </c>
      <c r="AV137" s="409">
        <v>0</v>
      </c>
      <c r="AW137" s="409">
        <v>0</v>
      </c>
      <c r="AX137" s="409">
        <v>0</v>
      </c>
      <c r="AY137" s="409">
        <v>0</v>
      </c>
      <c r="AZ137" s="409">
        <v>0</v>
      </c>
      <c r="BA137" s="409"/>
      <c r="BB137" s="409">
        <v>0</v>
      </c>
      <c r="BC137" s="409">
        <v>0</v>
      </c>
      <c r="BD137" s="409">
        <v>0</v>
      </c>
      <c r="BE137" s="409">
        <v>0</v>
      </c>
      <c r="BF137" s="409">
        <v>0</v>
      </c>
      <c r="BG137" s="409">
        <v>20.339906872299906</v>
      </c>
      <c r="BH137" s="409">
        <v>0</v>
      </c>
      <c r="BI137" s="409">
        <v>0</v>
      </c>
      <c r="BJ137" s="409">
        <v>0</v>
      </c>
      <c r="BK137" s="409">
        <v>0</v>
      </c>
      <c r="BL137" s="409">
        <v>0</v>
      </c>
      <c r="BM137" s="409"/>
      <c r="BN137" s="409"/>
      <c r="BO137" s="409"/>
      <c r="BP137" s="409"/>
      <c r="BQ137" s="409"/>
      <c r="BR137" s="409"/>
      <c r="BS137" s="409"/>
      <c r="BT137" s="409"/>
      <c r="BU137" s="409"/>
      <c r="BV137" s="409">
        <v>170.26644966987479</v>
      </c>
      <c r="BW137" s="409"/>
      <c r="BX137" s="409"/>
      <c r="BY137" s="409"/>
      <c r="BZ137" s="409"/>
      <c r="CA137" s="409"/>
      <c r="CB137" s="409"/>
      <c r="CC137" s="409"/>
      <c r="CD137" s="409"/>
      <c r="CE137" s="409"/>
      <c r="CF137" s="409"/>
      <c r="CG137" s="409"/>
      <c r="CH137" s="409"/>
      <c r="CI137" s="409">
        <v>342.923</v>
      </c>
      <c r="CJ137" s="409">
        <v>-23.22099999999989</v>
      </c>
      <c r="CK137" s="409"/>
      <c r="CL137" s="409"/>
      <c r="CM137" s="409"/>
      <c r="CN137" s="409"/>
      <c r="CO137" s="409">
        <v>-28.405999999999988</v>
      </c>
      <c r="CP137" s="409">
        <v>5.2149999999999919</v>
      </c>
      <c r="CQ137" s="409">
        <v>30</v>
      </c>
      <c r="CR137" s="409">
        <v>7.6852750132562164</v>
      </c>
      <c r="CS137" s="409">
        <v>0</v>
      </c>
      <c r="CT137" s="409">
        <v>0</v>
      </c>
      <c r="CU137" s="409">
        <v>0</v>
      </c>
      <c r="CV137" s="409">
        <v>0</v>
      </c>
      <c r="CW137" s="409">
        <v>0</v>
      </c>
      <c r="CX137" s="409">
        <v>0</v>
      </c>
      <c r="CY137" s="409">
        <v>0</v>
      </c>
      <c r="CZ137" s="409">
        <v>1.4433680260040305</v>
      </c>
      <c r="DA137" s="409">
        <v>0</v>
      </c>
      <c r="DB137" s="409">
        <v>0</v>
      </c>
      <c r="DC137" s="409">
        <v>6.8681209452989265</v>
      </c>
      <c r="DD137" s="409">
        <v>0</v>
      </c>
      <c r="DE137" s="409">
        <v>0</v>
      </c>
      <c r="DF137" s="409">
        <v>0</v>
      </c>
      <c r="DG137" s="409">
        <v>0.9317692371769617</v>
      </c>
      <c r="DH137" s="409">
        <v>0</v>
      </c>
      <c r="DI137" s="409">
        <v>-0.11178689559002031</v>
      </c>
      <c r="DJ137" s="409"/>
      <c r="DK137" s="409">
        <v>0</v>
      </c>
      <c r="DL137" s="409">
        <v>0</v>
      </c>
      <c r="DM137" s="409">
        <v>0</v>
      </c>
      <c r="DN137" s="409">
        <v>0</v>
      </c>
      <c r="DO137" s="409">
        <v>-3.5100822685635968E-2</v>
      </c>
      <c r="DP137" s="409">
        <v>-6.2295754127767999E-2</v>
      </c>
      <c r="DQ137" s="409">
        <v>0</v>
      </c>
      <c r="DR137" s="409">
        <v>-1.3487997228202875</v>
      </c>
      <c r="DS137" s="409"/>
      <c r="DT137" s="409"/>
      <c r="DU137" s="409"/>
      <c r="DV137" s="409">
        <v>134.70328350002791</v>
      </c>
      <c r="DW137" s="409">
        <v>0</v>
      </c>
      <c r="DX137" s="409">
        <v>0</v>
      </c>
      <c r="DY137" s="409">
        <v>-28.405999999999977</v>
      </c>
      <c r="DZ137" s="409">
        <v>5.2150000000000034</v>
      </c>
      <c r="EA137" s="409">
        <v>0</v>
      </c>
      <c r="EB137" s="409">
        <v>0</v>
      </c>
      <c r="EC137" s="409">
        <v>-30.877160050535409</v>
      </c>
      <c r="ED137" s="409">
        <v>0</v>
      </c>
      <c r="EE137" s="409">
        <v>0</v>
      </c>
      <c r="EF137" s="409">
        <v>0</v>
      </c>
      <c r="EG137" s="409">
        <v>0</v>
      </c>
      <c r="EH137" s="409">
        <v>0</v>
      </c>
      <c r="EI137" s="409">
        <v>0</v>
      </c>
      <c r="EJ137" s="409">
        <v>0</v>
      </c>
      <c r="EK137" s="409">
        <v>0</v>
      </c>
      <c r="EL137" s="409">
        <v>0</v>
      </c>
      <c r="EM137" s="409">
        <v>0</v>
      </c>
      <c r="EN137" s="409">
        <v>0</v>
      </c>
      <c r="EO137" s="409">
        <v>0</v>
      </c>
      <c r="EP137" s="409">
        <v>0</v>
      </c>
      <c r="EQ137" s="409">
        <v>0</v>
      </c>
      <c r="ER137" s="409">
        <v>0</v>
      </c>
      <c r="ES137" s="409">
        <v>0</v>
      </c>
      <c r="ET137" s="409">
        <v>0</v>
      </c>
      <c r="EU137" s="409">
        <v>0</v>
      </c>
      <c r="EV137" s="409">
        <v>254</v>
      </c>
      <c r="EW137" s="409">
        <v>0</v>
      </c>
      <c r="EX137" s="409">
        <v>0</v>
      </c>
      <c r="EY137" s="409">
        <v>0</v>
      </c>
      <c r="EZ137" s="409"/>
      <c r="FA137" s="409">
        <v>0</v>
      </c>
      <c r="FB137" s="409"/>
      <c r="FC137" s="409"/>
      <c r="FD137" s="409"/>
      <c r="FE137" s="409"/>
      <c r="FF137" s="409">
        <v>0</v>
      </c>
      <c r="FG137" s="409">
        <v>0</v>
      </c>
      <c r="FH137" s="409">
        <v>0</v>
      </c>
      <c r="FI137" s="409">
        <v>0</v>
      </c>
    </row>
    <row r="138" spans="1:165">
      <c r="A138" s="409">
        <v>136</v>
      </c>
      <c r="B138" s="409" t="s">
        <v>1035</v>
      </c>
      <c r="C138" s="409" t="s">
        <v>2252</v>
      </c>
      <c r="D138" s="409" t="s">
        <v>2254</v>
      </c>
      <c r="E138" s="409" t="s">
        <v>973</v>
      </c>
      <c r="F138" s="409" t="s">
        <v>1323</v>
      </c>
      <c r="G138" s="409" t="s">
        <v>1323</v>
      </c>
      <c r="H138" s="409" t="s">
        <v>1323</v>
      </c>
      <c r="I138" s="409" t="s">
        <v>1323</v>
      </c>
      <c r="J138" s="409" t="s">
        <v>2245</v>
      </c>
      <c r="K138" s="835">
        <v>44440</v>
      </c>
      <c r="L138" s="409">
        <v>0</v>
      </c>
      <c r="M138" s="409">
        <v>0</v>
      </c>
      <c r="N138" s="409">
        <v>0.154</v>
      </c>
      <c r="O138" s="409">
        <v>0.154</v>
      </c>
      <c r="P138" s="409">
        <v>0.154</v>
      </c>
      <c r="Q138" s="409">
        <v>0.154</v>
      </c>
      <c r="R138" s="409"/>
      <c r="S138" s="409">
        <v>597.01</v>
      </c>
      <c r="T138" s="409">
        <v>243.39</v>
      </c>
      <c r="U138" s="409"/>
      <c r="V138" s="409">
        <v>129.42159999999998</v>
      </c>
      <c r="W138" s="409">
        <v>129.42159999999998</v>
      </c>
      <c r="X138" s="409">
        <v>117.23712</v>
      </c>
      <c r="Y138" s="409">
        <v>0</v>
      </c>
      <c r="Z138" s="409">
        <v>3.8320555296404306</v>
      </c>
      <c r="AA138" s="409">
        <v>0</v>
      </c>
      <c r="AB138" s="409">
        <v>0</v>
      </c>
      <c r="AC138" s="409">
        <v>0</v>
      </c>
      <c r="AD138" s="409">
        <v>18.047116103908277</v>
      </c>
      <c r="AE138" s="409">
        <v>63.145932813479206</v>
      </c>
      <c r="AF138" s="409">
        <v>37.481635699393728</v>
      </c>
      <c r="AG138" s="409">
        <v>0</v>
      </c>
      <c r="AH138" s="409">
        <v>0</v>
      </c>
      <c r="AI138" s="409">
        <v>0</v>
      </c>
      <c r="AJ138" s="409">
        <v>0</v>
      </c>
      <c r="AK138" s="409">
        <v>0</v>
      </c>
      <c r="AL138" s="409">
        <v>1.5644999871136018</v>
      </c>
      <c r="AM138" s="409"/>
      <c r="AN138" s="409">
        <v>0.26439819870420878</v>
      </c>
      <c r="AO138" s="409">
        <v>0</v>
      </c>
      <c r="AP138" s="409">
        <v>0</v>
      </c>
      <c r="AQ138" s="409">
        <v>0</v>
      </c>
      <c r="AR138" s="409">
        <v>0</v>
      </c>
      <c r="AS138" s="409">
        <v>0</v>
      </c>
      <c r="AT138" s="409">
        <v>0</v>
      </c>
      <c r="AU138" s="409">
        <v>0</v>
      </c>
      <c r="AV138" s="409">
        <v>0</v>
      </c>
      <c r="AW138" s="409">
        <v>0</v>
      </c>
      <c r="AX138" s="409">
        <v>0</v>
      </c>
      <c r="AY138" s="409">
        <v>0</v>
      </c>
      <c r="AZ138" s="409">
        <v>0</v>
      </c>
      <c r="BA138" s="409"/>
      <c r="BB138" s="409">
        <v>0</v>
      </c>
      <c r="BC138" s="409">
        <v>0</v>
      </c>
      <c r="BD138" s="409">
        <v>0</v>
      </c>
      <c r="BE138" s="409">
        <v>0</v>
      </c>
      <c r="BF138" s="409">
        <v>0</v>
      </c>
      <c r="BG138" s="409">
        <v>5.0849767180749765</v>
      </c>
      <c r="BH138" s="409">
        <v>0</v>
      </c>
      <c r="BI138" s="409">
        <v>0.87</v>
      </c>
      <c r="BJ138" s="409">
        <v>4.05</v>
      </c>
      <c r="BK138" s="409">
        <v>0</v>
      </c>
      <c r="BL138" s="409">
        <v>6</v>
      </c>
      <c r="BM138" s="409"/>
      <c r="BN138" s="409"/>
      <c r="BO138" s="409"/>
      <c r="BP138" s="409"/>
      <c r="BQ138" s="409"/>
      <c r="BR138" s="409">
        <v>14.069439999999997</v>
      </c>
      <c r="BS138" s="409"/>
      <c r="BT138" s="409"/>
      <c r="BU138" s="409"/>
      <c r="BV138" s="409">
        <v>42.566612417468704</v>
      </c>
      <c r="BW138" s="409"/>
      <c r="BX138" s="409"/>
      <c r="BY138" s="409"/>
      <c r="BZ138" s="409"/>
      <c r="CA138" s="409"/>
      <c r="CB138" s="409"/>
      <c r="CC138" s="409"/>
      <c r="CD138" s="409"/>
      <c r="CE138" s="409"/>
      <c r="CF138" s="409"/>
      <c r="CG138" s="409"/>
      <c r="CH138" s="409"/>
      <c r="CI138" s="409">
        <v>100.488</v>
      </c>
      <c r="CJ138" s="409">
        <v>-13.432700000000025</v>
      </c>
      <c r="CK138" s="409"/>
      <c r="CL138" s="409"/>
      <c r="CM138" s="409"/>
      <c r="CN138" s="409"/>
      <c r="CO138" s="409">
        <v>-13.487319999999997</v>
      </c>
      <c r="CP138" s="409">
        <v>1.3028400000000011</v>
      </c>
      <c r="CQ138" s="409">
        <v>30</v>
      </c>
      <c r="CR138" s="409">
        <v>2.2905687436712725</v>
      </c>
      <c r="CS138" s="409">
        <v>0</v>
      </c>
      <c r="CT138" s="409">
        <v>0</v>
      </c>
      <c r="CU138" s="409">
        <v>0</v>
      </c>
      <c r="CV138" s="409">
        <v>0</v>
      </c>
      <c r="CW138" s="409">
        <v>0</v>
      </c>
      <c r="CX138" s="409">
        <v>0</v>
      </c>
      <c r="CY138" s="409">
        <v>0</v>
      </c>
      <c r="CZ138" s="409">
        <v>0.67659754015222617</v>
      </c>
      <c r="DA138" s="409">
        <v>0</v>
      </c>
      <c r="DB138" s="409">
        <v>0</v>
      </c>
      <c r="DC138" s="409">
        <v>1.7170302363247885</v>
      </c>
      <c r="DD138" s="409">
        <v>0</v>
      </c>
      <c r="DE138" s="409">
        <v>0</v>
      </c>
      <c r="DF138" s="409">
        <v>0</v>
      </c>
      <c r="DG138" s="409">
        <v>0.23294230929423332</v>
      </c>
      <c r="DH138" s="409">
        <v>0</v>
      </c>
      <c r="DI138" s="409">
        <v>-2.7946723897507741E-2</v>
      </c>
      <c r="DJ138" s="409"/>
      <c r="DK138" s="409">
        <v>0</v>
      </c>
      <c r="DL138" s="409">
        <v>0</v>
      </c>
      <c r="DM138" s="409">
        <v>0</v>
      </c>
      <c r="DN138" s="409">
        <v>0</v>
      </c>
      <c r="DO138" s="409">
        <v>-8.7752056714167637E-3</v>
      </c>
      <c r="DP138" s="409">
        <v>-1.5573938531941001E-2</v>
      </c>
      <c r="DQ138" s="409">
        <v>0</v>
      </c>
      <c r="DR138" s="409">
        <v>-0.28370547399908713</v>
      </c>
      <c r="DS138" s="409"/>
      <c r="DT138" s="409"/>
      <c r="DU138" s="409"/>
      <c r="DV138" s="409">
        <v>63.145932813479206</v>
      </c>
      <c r="DW138" s="409">
        <v>0</v>
      </c>
      <c r="DX138" s="409">
        <v>0</v>
      </c>
      <c r="DY138" s="409">
        <v>-13.487319999999997</v>
      </c>
      <c r="DZ138" s="409">
        <v>1.3028400000000033</v>
      </c>
      <c r="EA138" s="409">
        <v>0</v>
      </c>
      <c r="EB138" s="409">
        <v>0</v>
      </c>
      <c r="EC138" s="409">
        <v>-14.474532642121858</v>
      </c>
      <c r="ED138" s="409">
        <v>0</v>
      </c>
      <c r="EE138" s="409">
        <v>0</v>
      </c>
      <c r="EF138" s="409">
        <v>0</v>
      </c>
      <c r="EG138" s="409">
        <v>0</v>
      </c>
      <c r="EH138" s="409">
        <v>0</v>
      </c>
      <c r="EI138" s="409">
        <v>0</v>
      </c>
      <c r="EJ138" s="409">
        <v>0</v>
      </c>
      <c r="EK138" s="409">
        <v>0</v>
      </c>
      <c r="EL138" s="409">
        <v>0</v>
      </c>
      <c r="EM138" s="409">
        <v>0</v>
      </c>
      <c r="EN138" s="409">
        <v>0</v>
      </c>
      <c r="EO138" s="409">
        <v>0</v>
      </c>
      <c r="EP138" s="409">
        <v>0</v>
      </c>
      <c r="EQ138" s="409">
        <v>0</v>
      </c>
      <c r="ER138" s="409">
        <v>0</v>
      </c>
      <c r="ES138" s="409">
        <v>0</v>
      </c>
      <c r="ET138" s="409">
        <v>0</v>
      </c>
      <c r="EU138" s="409">
        <v>0</v>
      </c>
      <c r="EV138" s="409">
        <v>254</v>
      </c>
      <c r="EW138" s="409">
        <v>0</v>
      </c>
      <c r="EX138" s="409">
        <v>0</v>
      </c>
      <c r="EY138" s="409">
        <v>0</v>
      </c>
      <c r="EZ138" s="409"/>
      <c r="FA138" s="409">
        <v>0</v>
      </c>
      <c r="FB138" s="409"/>
      <c r="FC138" s="409"/>
      <c r="FD138" s="409"/>
      <c r="FE138" s="409"/>
      <c r="FF138" s="409">
        <v>0</v>
      </c>
      <c r="FG138" s="409">
        <v>0</v>
      </c>
      <c r="FH138" s="409">
        <v>0</v>
      </c>
      <c r="FI138" s="409">
        <v>0</v>
      </c>
    </row>
    <row r="139" spans="1:165">
      <c r="A139" s="409">
        <v>137</v>
      </c>
      <c r="B139" s="409" t="s">
        <v>1035</v>
      </c>
      <c r="C139" s="409" t="s">
        <v>2252</v>
      </c>
      <c r="D139" s="409" t="s">
        <v>2254</v>
      </c>
      <c r="E139" s="409" t="s">
        <v>973</v>
      </c>
      <c r="F139" s="409" t="s">
        <v>1323</v>
      </c>
      <c r="G139" s="409" t="s">
        <v>1323</v>
      </c>
      <c r="H139" s="409" t="s">
        <v>1323</v>
      </c>
      <c r="I139" s="409" t="s">
        <v>2253</v>
      </c>
      <c r="J139" s="409" t="s">
        <v>2245</v>
      </c>
      <c r="K139" s="835">
        <v>44440</v>
      </c>
      <c r="L139" s="409">
        <v>0</v>
      </c>
      <c r="M139" s="409">
        <v>0</v>
      </c>
      <c r="N139" s="409">
        <v>2.5000000000000001E-2</v>
      </c>
      <c r="O139" s="409">
        <v>2.5000000000000001E-2</v>
      </c>
      <c r="P139" s="409">
        <v>2.5000000000000001E-2</v>
      </c>
      <c r="Q139" s="409">
        <v>2.5000000000000001E-2</v>
      </c>
      <c r="R139" s="409"/>
      <c r="S139" s="409">
        <v>803.7</v>
      </c>
      <c r="T139" s="409">
        <v>214.18</v>
      </c>
      <c r="U139" s="409"/>
      <c r="V139" s="409">
        <v>25.447000000000003</v>
      </c>
      <c r="W139" s="409">
        <v>25.447000000000003</v>
      </c>
      <c r="X139" s="409">
        <v>22.533750000000001</v>
      </c>
      <c r="Y139" s="409">
        <v>0</v>
      </c>
      <c r="Z139" s="409">
        <v>0.54743650423434753</v>
      </c>
      <c r="AA139" s="409">
        <v>0</v>
      </c>
      <c r="AB139" s="409">
        <v>0</v>
      </c>
      <c r="AC139" s="409">
        <v>0</v>
      </c>
      <c r="AD139" s="409">
        <v>4.1248414045123001</v>
      </c>
      <c r="AE139" s="409">
        <v>14.432482284123376</v>
      </c>
      <c r="AF139" s="409">
        <v>5.3545193856276754</v>
      </c>
      <c r="AG139" s="409">
        <v>0</v>
      </c>
      <c r="AH139" s="409">
        <v>0</v>
      </c>
      <c r="AI139" s="409">
        <v>0</v>
      </c>
      <c r="AJ139" s="409">
        <v>0</v>
      </c>
      <c r="AK139" s="409">
        <v>0</v>
      </c>
      <c r="AL139" s="409">
        <v>0.22349999815908578</v>
      </c>
      <c r="AM139" s="409"/>
      <c r="AN139" s="409">
        <v>3.7771171243458503E-2</v>
      </c>
      <c r="AO139" s="409">
        <v>0</v>
      </c>
      <c r="AP139" s="409">
        <v>0</v>
      </c>
      <c r="AQ139" s="409">
        <v>0</v>
      </c>
      <c r="AR139" s="409">
        <v>0</v>
      </c>
      <c r="AS139" s="409">
        <v>0</v>
      </c>
      <c r="AT139" s="409">
        <v>0</v>
      </c>
      <c r="AU139" s="409">
        <v>0</v>
      </c>
      <c r="AV139" s="409">
        <v>0</v>
      </c>
      <c r="AW139" s="409">
        <v>0</v>
      </c>
      <c r="AX139" s="409">
        <v>0</v>
      </c>
      <c r="AY139" s="409">
        <v>0</v>
      </c>
      <c r="AZ139" s="409">
        <v>0</v>
      </c>
      <c r="BA139" s="409"/>
      <c r="BB139" s="409">
        <v>0</v>
      </c>
      <c r="BC139" s="409">
        <v>0</v>
      </c>
      <c r="BD139" s="409">
        <v>0</v>
      </c>
      <c r="BE139" s="409">
        <v>0</v>
      </c>
      <c r="BF139" s="409">
        <v>0</v>
      </c>
      <c r="BG139" s="409">
        <v>0.72642524543928255</v>
      </c>
      <c r="BH139" s="409">
        <v>0</v>
      </c>
      <c r="BI139" s="409">
        <v>0</v>
      </c>
      <c r="BJ139" s="409">
        <v>0</v>
      </c>
      <c r="BK139" s="409">
        <v>0</v>
      </c>
      <c r="BL139" s="409">
        <v>0</v>
      </c>
      <c r="BM139" s="409"/>
      <c r="BN139" s="409"/>
      <c r="BO139" s="409"/>
      <c r="BP139" s="409"/>
      <c r="BQ139" s="409"/>
      <c r="BR139" s="409"/>
      <c r="BS139" s="409"/>
      <c r="BT139" s="409"/>
      <c r="BU139" s="409"/>
      <c r="BV139" s="409">
        <v>6.0809446310669575</v>
      </c>
      <c r="BW139" s="409"/>
      <c r="BX139" s="409"/>
      <c r="BY139" s="409"/>
      <c r="BZ139" s="409"/>
      <c r="CA139" s="409"/>
      <c r="CB139" s="409"/>
      <c r="CC139" s="409"/>
      <c r="CD139" s="409"/>
      <c r="CE139" s="409"/>
      <c r="CF139" s="409"/>
      <c r="CG139" s="409"/>
      <c r="CH139" s="409"/>
      <c r="CI139" s="409">
        <v>27.040500000000002</v>
      </c>
      <c r="CJ139" s="409">
        <v>1.5634999999999941</v>
      </c>
      <c r="CK139" s="409"/>
      <c r="CL139" s="409"/>
      <c r="CM139" s="409"/>
      <c r="CN139" s="409"/>
      <c r="CO139" s="409">
        <v>-3.0995000000000008</v>
      </c>
      <c r="CP139" s="409">
        <v>0.18624999999999972</v>
      </c>
      <c r="CQ139" s="409">
        <v>30</v>
      </c>
      <c r="CR139" s="409">
        <v>0.39503355591869926</v>
      </c>
      <c r="CS139" s="409">
        <v>0</v>
      </c>
      <c r="CT139" s="409">
        <v>0</v>
      </c>
      <c r="CU139" s="409">
        <v>0</v>
      </c>
      <c r="CV139" s="409">
        <v>0</v>
      </c>
      <c r="CW139" s="409">
        <v>0</v>
      </c>
      <c r="CX139" s="409">
        <v>0</v>
      </c>
      <c r="CY139" s="409">
        <v>0</v>
      </c>
      <c r="CZ139" s="409">
        <v>0.15464285438970027</v>
      </c>
      <c r="DA139" s="409">
        <v>0</v>
      </c>
      <c r="DB139" s="409">
        <v>0</v>
      </c>
      <c r="DC139" s="409">
        <v>0.24529003376067493</v>
      </c>
      <c r="DD139" s="409">
        <v>0</v>
      </c>
      <c r="DE139" s="409">
        <v>0</v>
      </c>
      <c r="DF139" s="409">
        <v>0</v>
      </c>
      <c r="DG139" s="409">
        <v>3.3277472756319981E-2</v>
      </c>
      <c r="DH139" s="409">
        <v>0</v>
      </c>
      <c r="DI139" s="409">
        <v>-3.9923891282149793E-3</v>
      </c>
      <c r="DJ139" s="409"/>
      <c r="DK139" s="409">
        <v>0</v>
      </c>
      <c r="DL139" s="409">
        <v>0</v>
      </c>
      <c r="DM139" s="409">
        <v>0</v>
      </c>
      <c r="DN139" s="409">
        <v>0</v>
      </c>
      <c r="DO139" s="409">
        <v>-1.2536008102012608E-3</v>
      </c>
      <c r="DP139" s="409">
        <v>-2.224848361706E-3</v>
      </c>
      <c r="DQ139" s="409">
        <v>0</v>
      </c>
      <c r="DR139" s="409">
        <v>-3.070596668787275E-2</v>
      </c>
      <c r="DS139" s="409"/>
      <c r="DT139" s="409"/>
      <c r="DU139" s="409"/>
      <c r="DV139" s="409">
        <v>14.432482284123376</v>
      </c>
      <c r="DW139" s="409">
        <v>0</v>
      </c>
      <c r="DX139" s="409">
        <v>0</v>
      </c>
      <c r="DY139" s="409">
        <v>-3.099499999999999</v>
      </c>
      <c r="DZ139" s="409">
        <v>0.18624999999999936</v>
      </c>
      <c r="EA139" s="409">
        <v>0</v>
      </c>
      <c r="EB139" s="409">
        <v>0</v>
      </c>
      <c r="EC139" s="409">
        <v>-3.3082643112652992</v>
      </c>
      <c r="ED139" s="409">
        <v>0</v>
      </c>
      <c r="EE139" s="409">
        <v>0</v>
      </c>
      <c r="EF139" s="409">
        <v>0</v>
      </c>
      <c r="EG139" s="409">
        <v>0</v>
      </c>
      <c r="EH139" s="409">
        <v>0</v>
      </c>
      <c r="EI139" s="409">
        <v>0</v>
      </c>
      <c r="EJ139" s="409">
        <v>0</v>
      </c>
      <c r="EK139" s="409">
        <v>0</v>
      </c>
      <c r="EL139" s="409">
        <v>0</v>
      </c>
      <c r="EM139" s="409">
        <v>0</v>
      </c>
      <c r="EN139" s="409">
        <v>0</v>
      </c>
      <c r="EO139" s="409">
        <v>0</v>
      </c>
      <c r="EP139" s="409">
        <v>0</v>
      </c>
      <c r="EQ139" s="409">
        <v>0</v>
      </c>
      <c r="ER139" s="409">
        <v>0</v>
      </c>
      <c r="ES139" s="409">
        <v>0</v>
      </c>
      <c r="ET139" s="409">
        <v>0</v>
      </c>
      <c r="EU139" s="409">
        <v>0</v>
      </c>
      <c r="EV139" s="409">
        <v>254</v>
      </c>
      <c r="EW139" s="409">
        <v>0</v>
      </c>
      <c r="EX139" s="409">
        <v>0</v>
      </c>
      <c r="EY139" s="409">
        <v>0</v>
      </c>
      <c r="EZ139" s="409"/>
      <c r="FA139" s="409">
        <v>0</v>
      </c>
      <c r="FB139" s="409"/>
      <c r="FC139" s="409"/>
      <c r="FD139" s="409"/>
      <c r="FE139" s="409"/>
      <c r="FF139" s="409">
        <v>0</v>
      </c>
      <c r="FG139" s="409">
        <v>0</v>
      </c>
      <c r="FH139" s="409">
        <v>0</v>
      </c>
      <c r="FI139" s="409">
        <v>0</v>
      </c>
    </row>
    <row r="140" spans="1:165">
      <c r="A140" s="409">
        <v>138</v>
      </c>
      <c r="B140" s="409" t="s">
        <v>1035</v>
      </c>
      <c r="C140" s="409" t="s">
        <v>2244</v>
      </c>
      <c r="D140" s="409" t="s">
        <v>1994</v>
      </c>
      <c r="E140" s="409" t="s">
        <v>2255</v>
      </c>
      <c r="F140" s="409" t="s">
        <v>1323</v>
      </c>
      <c r="G140" s="409" t="s">
        <v>1323</v>
      </c>
      <c r="H140" s="409" t="s">
        <v>1323</v>
      </c>
      <c r="I140" s="409" t="s">
        <v>1323</v>
      </c>
      <c r="J140" s="409" t="s">
        <v>2245</v>
      </c>
      <c r="K140" s="835">
        <v>44440</v>
      </c>
      <c r="L140" s="409">
        <v>0</v>
      </c>
      <c r="M140" s="409">
        <v>0</v>
      </c>
      <c r="N140" s="409">
        <v>16.433</v>
      </c>
      <c r="O140" s="409">
        <v>16.433</v>
      </c>
      <c r="P140" s="409">
        <v>16.433</v>
      </c>
      <c r="Q140" s="409">
        <v>16.433</v>
      </c>
      <c r="R140" s="409"/>
      <c r="S140" s="409">
        <v>597.01</v>
      </c>
      <c r="T140" s="409">
        <v>243.39</v>
      </c>
      <c r="U140" s="409"/>
      <c r="V140" s="409">
        <v>13810.2932</v>
      </c>
      <c r="W140" s="409">
        <v>13810.2932</v>
      </c>
      <c r="X140" s="409">
        <v>12510.114239999999</v>
      </c>
      <c r="Y140" s="409">
        <v>0</v>
      </c>
      <c r="Z140" s="409">
        <v>408.91018518559218</v>
      </c>
      <c r="AA140" s="409">
        <v>0</v>
      </c>
      <c r="AB140" s="409">
        <v>0</v>
      </c>
      <c r="AC140" s="409">
        <v>0</v>
      </c>
      <c r="AD140" s="409">
        <v>1925.7679151657449</v>
      </c>
      <c r="AE140" s="409">
        <v>6738.1630774279465</v>
      </c>
      <c r="AF140" s="409">
        <v>3999.5825938190724</v>
      </c>
      <c r="AG140" s="409">
        <v>0</v>
      </c>
      <c r="AH140" s="409">
        <v>0</v>
      </c>
      <c r="AI140" s="409">
        <v>0</v>
      </c>
      <c r="AJ140" s="409">
        <v>0</v>
      </c>
      <c r="AK140" s="409">
        <v>0</v>
      </c>
      <c r="AL140" s="409">
        <v>166.94433953401182</v>
      </c>
      <c r="AM140" s="409"/>
      <c r="AN140" s="409">
        <v>28.213348047443265</v>
      </c>
      <c r="AO140" s="409">
        <v>0</v>
      </c>
      <c r="AP140" s="409">
        <v>0</v>
      </c>
      <c r="AQ140" s="409">
        <v>0</v>
      </c>
      <c r="AR140" s="409">
        <v>0</v>
      </c>
      <c r="AS140" s="409">
        <v>0</v>
      </c>
      <c r="AT140" s="409">
        <v>0</v>
      </c>
      <c r="AU140" s="409">
        <v>0</v>
      </c>
      <c r="AV140" s="409">
        <v>0</v>
      </c>
      <c r="AW140" s="409">
        <v>0</v>
      </c>
      <c r="AX140" s="409">
        <v>0</v>
      </c>
      <c r="AY140" s="409">
        <v>0</v>
      </c>
      <c r="AZ140" s="409">
        <v>0</v>
      </c>
      <c r="BA140" s="409"/>
      <c r="BB140" s="409">
        <v>0</v>
      </c>
      <c r="BC140" s="409">
        <v>0</v>
      </c>
      <c r="BD140" s="409">
        <v>0</v>
      </c>
      <c r="BE140" s="409">
        <v>0</v>
      </c>
      <c r="BF140" s="409">
        <v>0</v>
      </c>
      <c r="BG140" s="409">
        <v>542.60663901380576</v>
      </c>
      <c r="BH140" s="409">
        <v>0</v>
      </c>
      <c r="BI140" s="409">
        <v>13.52</v>
      </c>
      <c r="BJ140" s="409">
        <v>62.35</v>
      </c>
      <c r="BK140" s="409">
        <v>1017.5</v>
      </c>
      <c r="BL140" s="409">
        <v>31</v>
      </c>
      <c r="BM140" s="409"/>
      <c r="BN140" s="409"/>
      <c r="BO140" s="409"/>
      <c r="BP140" s="409"/>
      <c r="BQ140" s="409"/>
      <c r="BR140" s="409"/>
      <c r="BS140" s="409"/>
      <c r="BT140" s="409"/>
      <c r="BU140" s="409"/>
      <c r="BV140" s="409">
        <v>4542.1892328328777</v>
      </c>
      <c r="BW140" s="409"/>
      <c r="BX140" s="409"/>
      <c r="BY140" s="409"/>
      <c r="BZ140" s="409"/>
      <c r="CA140" s="409"/>
      <c r="CB140" s="409"/>
      <c r="CC140" s="409"/>
      <c r="CD140" s="409"/>
      <c r="CE140" s="409"/>
      <c r="CF140" s="409"/>
      <c r="CG140" s="409"/>
      <c r="CH140" s="409"/>
      <c r="CI140" s="409">
        <v>12507.830399999999</v>
      </c>
      <c r="CJ140" s="409">
        <v>-1302.4928000000018</v>
      </c>
      <c r="CK140" s="409"/>
      <c r="CL140" s="409"/>
      <c r="CM140" s="409"/>
      <c r="CN140" s="409"/>
      <c r="CO140" s="409">
        <v>-1439.2021399999996</v>
      </c>
      <c r="CP140" s="409">
        <v>139.02318000000014</v>
      </c>
      <c r="CQ140" s="409">
        <v>30</v>
      </c>
      <c r="CR140" s="409">
        <v>244.4215335373392</v>
      </c>
      <c r="CS140" s="409">
        <v>0</v>
      </c>
      <c r="CT140" s="409">
        <v>0</v>
      </c>
      <c r="CU140" s="409">
        <v>0</v>
      </c>
      <c r="CV140" s="409">
        <v>0</v>
      </c>
      <c r="CW140" s="409">
        <v>0</v>
      </c>
      <c r="CX140" s="409">
        <v>0</v>
      </c>
      <c r="CY140" s="409">
        <v>0</v>
      </c>
      <c r="CZ140" s="409">
        <v>72.198229722866927</v>
      </c>
      <c r="DA140" s="409">
        <v>0</v>
      </c>
      <c r="DB140" s="409">
        <v>0</v>
      </c>
      <c r="DC140" s="409">
        <v>183.22050567224187</v>
      </c>
      <c r="DD140" s="409">
        <v>0</v>
      </c>
      <c r="DE140" s="409">
        <v>0</v>
      </c>
      <c r="DF140" s="409">
        <v>0</v>
      </c>
      <c r="DG140" s="409">
        <v>24.856759536572326</v>
      </c>
      <c r="DH140" s="409">
        <v>0</v>
      </c>
      <c r="DI140" s="409">
        <v>-2.9821332065437787</v>
      </c>
      <c r="DJ140" s="409"/>
      <c r="DK140" s="409">
        <v>0</v>
      </c>
      <c r="DL140" s="409">
        <v>0</v>
      </c>
      <c r="DM140" s="409">
        <v>0</v>
      </c>
      <c r="DN140" s="409">
        <v>0</v>
      </c>
      <c r="DO140" s="409">
        <v>-0.93638282336618772</v>
      </c>
      <c r="DP140" s="409">
        <v>-1.6618605967232867</v>
      </c>
      <c r="DQ140" s="409">
        <v>0</v>
      </c>
      <c r="DR140" s="409">
        <v>-30.273584767707781</v>
      </c>
      <c r="DS140" s="409"/>
      <c r="DT140" s="409"/>
      <c r="DU140" s="409"/>
      <c r="DV140" s="409">
        <v>6738.1630774279465</v>
      </c>
      <c r="DW140" s="409">
        <v>0</v>
      </c>
      <c r="DX140" s="409">
        <v>0</v>
      </c>
      <c r="DY140" s="409">
        <v>-1439.2021399999994</v>
      </c>
      <c r="DZ140" s="409">
        <v>139.02317999999968</v>
      </c>
      <c r="EA140" s="409">
        <v>0</v>
      </c>
      <c r="EB140" s="409">
        <v>0</v>
      </c>
      <c r="EC140" s="409">
        <v>-1544.545421480444</v>
      </c>
      <c r="ED140" s="409">
        <v>0</v>
      </c>
      <c r="EE140" s="409">
        <v>0</v>
      </c>
      <c r="EF140" s="409">
        <v>0</v>
      </c>
      <c r="EG140" s="409">
        <v>0</v>
      </c>
      <c r="EH140" s="409">
        <v>0</v>
      </c>
      <c r="EI140" s="409">
        <v>0</v>
      </c>
      <c r="EJ140" s="409">
        <v>0</v>
      </c>
      <c r="EK140" s="409">
        <v>0</v>
      </c>
      <c r="EL140" s="409">
        <v>0</v>
      </c>
      <c r="EM140" s="409">
        <v>0</v>
      </c>
      <c r="EN140" s="409">
        <v>0</v>
      </c>
      <c r="EO140" s="409">
        <v>0</v>
      </c>
      <c r="EP140" s="409">
        <v>0</v>
      </c>
      <c r="EQ140" s="409">
        <v>0</v>
      </c>
      <c r="ER140" s="409">
        <v>0</v>
      </c>
      <c r="ES140" s="409">
        <v>0</v>
      </c>
      <c r="ET140" s="409">
        <v>0</v>
      </c>
      <c r="EU140" s="409">
        <v>0</v>
      </c>
      <c r="EV140" s="409">
        <v>254</v>
      </c>
      <c r="EW140" s="409">
        <v>0</v>
      </c>
      <c r="EX140" s="409">
        <v>0</v>
      </c>
      <c r="EY140" s="409">
        <v>0</v>
      </c>
      <c r="EZ140" s="409"/>
      <c r="FA140" s="409">
        <v>0</v>
      </c>
      <c r="FB140" s="409"/>
      <c r="FC140" s="409"/>
      <c r="FD140" s="409"/>
      <c r="FE140" s="409"/>
      <c r="FF140" s="409">
        <v>0</v>
      </c>
      <c r="FG140" s="409">
        <v>0</v>
      </c>
      <c r="FH140" s="409">
        <v>0</v>
      </c>
      <c r="FI140" s="409">
        <v>0</v>
      </c>
    </row>
    <row r="141" spans="1:165">
      <c r="A141" s="409">
        <v>139</v>
      </c>
      <c r="B141" s="409" t="s">
        <v>1035</v>
      </c>
      <c r="C141" s="409" t="s">
        <v>2244</v>
      </c>
      <c r="D141" s="409" t="s">
        <v>2256</v>
      </c>
      <c r="E141" s="409" t="s">
        <v>2257</v>
      </c>
      <c r="F141" s="409" t="s">
        <v>2258</v>
      </c>
      <c r="G141" s="409" t="s">
        <v>1323</v>
      </c>
      <c r="H141" s="409" t="s">
        <v>1323</v>
      </c>
      <c r="I141" s="409" t="s">
        <v>1323</v>
      </c>
      <c r="J141" s="409" t="s">
        <v>2245</v>
      </c>
      <c r="K141" s="835">
        <v>44440</v>
      </c>
      <c r="L141" s="409">
        <v>0</v>
      </c>
      <c r="M141" s="409">
        <v>0</v>
      </c>
      <c r="N141" s="409">
        <v>127.422</v>
      </c>
      <c r="O141" s="409">
        <v>127.422</v>
      </c>
      <c r="P141" s="409">
        <v>127.422</v>
      </c>
      <c r="Q141" s="409">
        <v>127.422</v>
      </c>
      <c r="R141" s="409"/>
      <c r="S141" s="409">
        <v>328.35</v>
      </c>
      <c r="T141" s="409">
        <v>133.86000000000001</v>
      </c>
      <c r="U141" s="409"/>
      <c r="V141" s="409">
        <v>58895.72262</v>
      </c>
      <c r="W141" s="409">
        <v>58895.72262</v>
      </c>
      <c r="X141" s="409">
        <v>53351.591400000005</v>
      </c>
      <c r="Y141" s="409">
        <v>0</v>
      </c>
      <c r="Z141" s="409">
        <v>1743.8863560637274</v>
      </c>
      <c r="AA141" s="409">
        <v>0</v>
      </c>
      <c r="AB141" s="409">
        <v>0</v>
      </c>
      <c r="AC141" s="409">
        <v>0</v>
      </c>
      <c r="AD141" s="409">
        <v>8212.8558149721448</v>
      </c>
      <c r="AE141" s="409">
        <v>28736.36089628272</v>
      </c>
      <c r="AF141" s="409">
        <v>17057.089228886256</v>
      </c>
      <c r="AG141" s="409">
        <v>0</v>
      </c>
      <c r="AH141" s="409">
        <v>0</v>
      </c>
      <c r="AI141" s="409">
        <v>0</v>
      </c>
      <c r="AJ141" s="409">
        <v>0</v>
      </c>
      <c r="AK141" s="409">
        <v>0</v>
      </c>
      <c r="AL141" s="409">
        <v>711.97041913567637</v>
      </c>
      <c r="AM141" s="409"/>
      <c r="AN141" s="409">
        <v>120.32195455459916</v>
      </c>
      <c r="AO141" s="409">
        <v>0</v>
      </c>
      <c r="AP141" s="409">
        <v>0</v>
      </c>
      <c r="AQ141" s="409">
        <v>0</v>
      </c>
      <c r="AR141" s="409">
        <v>0</v>
      </c>
      <c r="AS141" s="409">
        <v>0</v>
      </c>
      <c r="AT141" s="409">
        <v>0</v>
      </c>
      <c r="AU141" s="409">
        <v>0</v>
      </c>
      <c r="AV141" s="409">
        <v>0</v>
      </c>
      <c r="AW141" s="409">
        <v>0</v>
      </c>
      <c r="AX141" s="409">
        <v>0</v>
      </c>
      <c r="AY141" s="409">
        <v>0</v>
      </c>
      <c r="AZ141" s="409">
        <v>0</v>
      </c>
      <c r="BA141" s="409"/>
      <c r="BB141" s="409">
        <v>0</v>
      </c>
      <c r="BC141" s="409">
        <v>0</v>
      </c>
      <c r="BD141" s="409">
        <v>0</v>
      </c>
      <c r="BE141" s="409">
        <v>0</v>
      </c>
      <c r="BF141" s="409">
        <v>0</v>
      </c>
      <c r="BG141" s="409">
        <v>2314.0639406091113</v>
      </c>
      <c r="BH141" s="409">
        <v>0</v>
      </c>
      <c r="BI141" s="409">
        <v>0</v>
      </c>
      <c r="BJ141" s="409">
        <v>0</v>
      </c>
      <c r="BK141" s="409">
        <v>0</v>
      </c>
      <c r="BL141" s="409">
        <v>5</v>
      </c>
      <c r="BM141" s="409"/>
      <c r="BN141" s="409"/>
      <c r="BO141" s="409"/>
      <c r="BP141" s="409"/>
      <c r="BQ141" s="409"/>
      <c r="BR141" s="409"/>
      <c r="BS141" s="409"/>
      <c r="BT141" s="409"/>
      <c r="BU141" s="409"/>
      <c r="BV141" s="409">
        <v>19371.153169495366</v>
      </c>
      <c r="BW141" s="409"/>
      <c r="BX141" s="409"/>
      <c r="BY141" s="409"/>
      <c r="BZ141" s="409"/>
      <c r="CA141" s="409"/>
      <c r="CB141" s="409"/>
      <c r="CC141" s="409"/>
      <c r="CD141" s="409"/>
      <c r="CE141" s="409"/>
      <c r="CF141" s="409"/>
      <c r="CG141" s="409"/>
      <c r="CH141" s="409"/>
      <c r="CI141" s="409">
        <v>53350.754000000001</v>
      </c>
      <c r="CJ141" s="409">
        <v>-5544.9986200000058</v>
      </c>
      <c r="CK141" s="409"/>
      <c r="CL141" s="409"/>
      <c r="CM141" s="409"/>
      <c r="CN141" s="409"/>
      <c r="CO141" s="409">
        <v>-6137.9177400000017</v>
      </c>
      <c r="CP141" s="409">
        <v>593.78651999999954</v>
      </c>
      <c r="CQ141" s="409">
        <v>30</v>
      </c>
      <c r="CR141" s="409">
        <v>1042.3887516288269</v>
      </c>
      <c r="CS141" s="409">
        <v>0</v>
      </c>
      <c r="CT141" s="409">
        <v>0</v>
      </c>
      <c r="CU141" s="409">
        <v>0</v>
      </c>
      <c r="CV141" s="409">
        <v>0</v>
      </c>
      <c r="CW141" s="409">
        <v>0</v>
      </c>
      <c r="CX141" s="409">
        <v>0</v>
      </c>
      <c r="CY141" s="409">
        <v>0</v>
      </c>
      <c r="CZ141" s="409">
        <v>307.90504200454052</v>
      </c>
      <c r="DA141" s="409">
        <v>0</v>
      </c>
      <c r="DB141" s="409">
        <v>0</v>
      </c>
      <c r="DC141" s="409">
        <v>781.38366704633518</v>
      </c>
      <c r="DD141" s="409">
        <v>0</v>
      </c>
      <c r="DE141" s="409">
        <v>0</v>
      </c>
      <c r="DF141" s="409">
        <v>0</v>
      </c>
      <c r="DG141" s="409">
        <v>106.00705333888209</v>
      </c>
      <c r="DH141" s="409">
        <v>0</v>
      </c>
      <c r="DI141" s="409">
        <v>-12.717955187388725</v>
      </c>
      <c r="DJ141" s="409"/>
      <c r="DK141" s="409">
        <v>0</v>
      </c>
      <c r="DL141" s="409">
        <v>0</v>
      </c>
      <c r="DM141" s="409">
        <v>0</v>
      </c>
      <c r="DN141" s="409">
        <v>0</v>
      </c>
      <c r="DO141" s="409">
        <v>-3.9934080609376679</v>
      </c>
      <c r="DP141" s="409">
        <v>-7.087365698632297</v>
      </c>
      <c r="DQ141" s="409">
        <v>0</v>
      </c>
      <c r="DR141" s="409">
        <v>-129.10828181397099</v>
      </c>
      <c r="DS141" s="409"/>
      <c r="DT141" s="409"/>
      <c r="DU141" s="409"/>
      <c r="DV141" s="409">
        <v>28736.36089628272</v>
      </c>
      <c r="DW141" s="409">
        <v>0</v>
      </c>
      <c r="DX141" s="409">
        <v>0</v>
      </c>
      <c r="DY141" s="409">
        <v>-6137.9177400000044</v>
      </c>
      <c r="DZ141" s="409">
        <v>593.78652000000147</v>
      </c>
      <c r="EA141" s="409">
        <v>0</v>
      </c>
      <c r="EB141" s="409">
        <v>0</v>
      </c>
      <c r="EC141" s="409">
        <v>-6587.0496368731037</v>
      </c>
      <c r="ED141" s="409">
        <v>0</v>
      </c>
      <c r="EE141" s="409">
        <v>0</v>
      </c>
      <c r="EF141" s="409">
        <v>0</v>
      </c>
      <c r="EG141" s="409">
        <v>0</v>
      </c>
      <c r="EH141" s="409">
        <v>0</v>
      </c>
      <c r="EI141" s="409">
        <v>0</v>
      </c>
      <c r="EJ141" s="409">
        <v>0</v>
      </c>
      <c r="EK141" s="409">
        <v>0</v>
      </c>
      <c r="EL141" s="409">
        <v>0</v>
      </c>
      <c r="EM141" s="409">
        <v>0</v>
      </c>
      <c r="EN141" s="409">
        <v>0</v>
      </c>
      <c r="EO141" s="409">
        <v>0</v>
      </c>
      <c r="EP141" s="409">
        <v>0</v>
      </c>
      <c r="EQ141" s="409">
        <v>0</v>
      </c>
      <c r="ER141" s="409">
        <v>0</v>
      </c>
      <c r="ES141" s="409">
        <v>0</v>
      </c>
      <c r="ET141" s="409">
        <v>0</v>
      </c>
      <c r="EU141" s="409">
        <v>0</v>
      </c>
      <c r="EV141" s="409">
        <v>254</v>
      </c>
      <c r="EW141" s="409">
        <v>0</v>
      </c>
      <c r="EX141" s="409">
        <v>0</v>
      </c>
      <c r="EY141" s="409">
        <v>0</v>
      </c>
      <c r="EZ141" s="409"/>
      <c r="FA141" s="409">
        <v>0</v>
      </c>
      <c r="FB141" s="409"/>
      <c r="FC141" s="409"/>
      <c r="FD141" s="409"/>
      <c r="FE141" s="409"/>
      <c r="FF141" s="409">
        <v>0</v>
      </c>
      <c r="FG141" s="409">
        <v>0</v>
      </c>
      <c r="FH141" s="409">
        <v>0</v>
      </c>
      <c r="FI141" s="409">
        <v>0</v>
      </c>
    </row>
    <row r="142" spans="1:165">
      <c r="A142" s="409">
        <v>140</v>
      </c>
      <c r="B142" s="409" t="s">
        <v>1035</v>
      </c>
      <c r="C142" s="409" t="s">
        <v>2244</v>
      </c>
      <c r="D142" s="409" t="s">
        <v>1994</v>
      </c>
      <c r="E142" s="409" t="s">
        <v>1000</v>
      </c>
      <c r="F142" s="409" t="s">
        <v>2259</v>
      </c>
      <c r="G142" s="409" t="s">
        <v>1323</v>
      </c>
      <c r="H142" s="409" t="s">
        <v>1323</v>
      </c>
      <c r="I142" s="409" t="s">
        <v>1323</v>
      </c>
      <c r="J142" s="409" t="s">
        <v>2245</v>
      </c>
      <c r="K142" s="835">
        <v>44440</v>
      </c>
      <c r="L142" s="409">
        <v>0</v>
      </c>
      <c r="M142" s="409">
        <v>0</v>
      </c>
      <c r="N142" s="409">
        <v>65.501999999999995</v>
      </c>
      <c r="O142" s="409">
        <v>61.57188</v>
      </c>
      <c r="P142" s="409">
        <v>65.501999999999995</v>
      </c>
      <c r="Q142" s="409">
        <v>61.57188</v>
      </c>
      <c r="R142" s="409"/>
      <c r="S142" s="409">
        <v>597.01</v>
      </c>
      <c r="T142" s="409">
        <v>243.39</v>
      </c>
      <c r="U142" s="409"/>
      <c r="V142" s="409">
        <v>55047.880799999992</v>
      </c>
      <c r="W142" s="409">
        <v>55047.880799999992</v>
      </c>
      <c r="X142" s="409">
        <v>49865.362559999994</v>
      </c>
      <c r="Y142" s="409">
        <v>0</v>
      </c>
      <c r="Z142" s="409">
        <v>1629.917540925373</v>
      </c>
      <c r="AA142" s="409">
        <v>0</v>
      </c>
      <c r="AB142" s="409">
        <v>0</v>
      </c>
      <c r="AC142" s="409">
        <v>0</v>
      </c>
      <c r="AD142" s="409">
        <v>7676.1181755727257</v>
      </c>
      <c r="AE142" s="409">
        <v>26858.343449016327</v>
      </c>
      <c r="AF142" s="409">
        <v>15942.351308972</v>
      </c>
      <c r="AG142" s="409">
        <v>0</v>
      </c>
      <c r="AH142" s="409">
        <v>0</v>
      </c>
      <c r="AI142" s="409">
        <v>0</v>
      </c>
      <c r="AJ142" s="409">
        <v>0</v>
      </c>
      <c r="AK142" s="409">
        <v>0</v>
      </c>
      <c r="AL142" s="409">
        <v>665.4407672462022</v>
      </c>
      <c r="AM142" s="409"/>
      <c r="AN142" s="409">
        <v>112.4585117631369</v>
      </c>
      <c r="AO142" s="409">
        <v>0</v>
      </c>
      <c r="AP142" s="409">
        <v>0</v>
      </c>
      <c r="AQ142" s="409">
        <v>0</v>
      </c>
      <c r="AR142" s="409">
        <v>0</v>
      </c>
      <c r="AS142" s="409">
        <v>0</v>
      </c>
      <c r="AT142" s="409">
        <v>0</v>
      </c>
      <c r="AU142" s="409">
        <v>0</v>
      </c>
      <c r="AV142" s="409">
        <v>0</v>
      </c>
      <c r="AW142" s="409">
        <v>0</v>
      </c>
      <c r="AX142" s="409">
        <v>0</v>
      </c>
      <c r="AY142" s="409">
        <v>0</v>
      </c>
      <c r="AZ142" s="409">
        <v>0</v>
      </c>
      <c r="BA142" s="409"/>
      <c r="BB142" s="409">
        <v>0</v>
      </c>
      <c r="BC142" s="409">
        <v>0</v>
      </c>
      <c r="BD142" s="409">
        <v>0</v>
      </c>
      <c r="BE142" s="409">
        <v>0</v>
      </c>
      <c r="BF142" s="409">
        <v>0</v>
      </c>
      <c r="BG142" s="409">
        <v>2162.8321103074486</v>
      </c>
      <c r="BH142" s="409">
        <v>0</v>
      </c>
      <c r="BI142" s="409">
        <v>0</v>
      </c>
      <c r="BJ142" s="409">
        <v>0</v>
      </c>
      <c r="BK142" s="409">
        <v>0</v>
      </c>
      <c r="BL142" s="409">
        <v>9</v>
      </c>
      <c r="BM142" s="409"/>
      <c r="BN142" s="409"/>
      <c r="BO142" s="409"/>
      <c r="BP142" s="409"/>
      <c r="BQ142" s="409">
        <v>2991.9217535999965</v>
      </c>
      <c r="BR142" s="409"/>
      <c r="BS142" s="409"/>
      <c r="BT142" s="409"/>
      <c r="BU142" s="409"/>
      <c r="BV142" s="409">
        <v>18105.183419279449</v>
      </c>
      <c r="BW142" s="409"/>
      <c r="BX142" s="409"/>
      <c r="BY142" s="409"/>
      <c r="BZ142" s="409"/>
      <c r="CA142" s="409"/>
      <c r="CB142" s="409"/>
      <c r="CC142" s="409"/>
      <c r="CD142" s="409"/>
      <c r="CE142" s="409"/>
      <c r="CF142" s="409"/>
      <c r="CG142" s="409"/>
      <c r="CH142" s="409"/>
      <c r="CI142" s="409">
        <v>46872.009600000005</v>
      </c>
      <c r="CJ142" s="409">
        <v>-4873.0283520000012</v>
      </c>
      <c r="CK142" s="409"/>
      <c r="CL142" s="409"/>
      <c r="CM142" s="409"/>
      <c r="CN142" s="409"/>
      <c r="CO142" s="409">
        <v>-5736.6651599999987</v>
      </c>
      <c r="CP142" s="409">
        <v>554.14692000000048</v>
      </c>
      <c r="CQ142" s="409">
        <v>30</v>
      </c>
      <c r="CR142" s="409">
        <v>974.26515485686468</v>
      </c>
      <c r="CS142" s="409">
        <v>0</v>
      </c>
      <c r="CT142" s="409">
        <v>0</v>
      </c>
      <c r="CU142" s="409">
        <v>0</v>
      </c>
      <c r="CV142" s="409">
        <v>0</v>
      </c>
      <c r="CW142" s="409">
        <v>0</v>
      </c>
      <c r="CX142" s="409">
        <v>0</v>
      </c>
      <c r="CY142" s="409">
        <v>0</v>
      </c>
      <c r="CZ142" s="409">
        <v>287.78241607176096</v>
      </c>
      <c r="DA142" s="409">
        <v>0</v>
      </c>
      <c r="DB142" s="409">
        <v>0</v>
      </c>
      <c r="DC142" s="409">
        <v>730.31762688146773</v>
      </c>
      <c r="DD142" s="409">
        <v>0</v>
      </c>
      <c r="DE142" s="409">
        <v>0</v>
      </c>
      <c r="DF142" s="409">
        <v>0</v>
      </c>
      <c r="DG142" s="409">
        <v>99.079137294746033</v>
      </c>
      <c r="DH142" s="409">
        <v>0</v>
      </c>
      <c r="DI142" s="409">
        <v>-11.886794212561881</v>
      </c>
      <c r="DJ142" s="409"/>
      <c r="DK142" s="409">
        <v>0</v>
      </c>
      <c r="DL142" s="409">
        <v>0</v>
      </c>
      <c r="DM142" s="409">
        <v>0</v>
      </c>
      <c r="DN142" s="409">
        <v>0</v>
      </c>
      <c r="DO142" s="409">
        <v>-3.7324254668126287</v>
      </c>
      <c r="DP142" s="409">
        <v>-6.6241826085662296</v>
      </c>
      <c r="DQ142" s="409">
        <v>0</v>
      </c>
      <c r="DR142" s="409">
        <v>-120.67062310317014</v>
      </c>
      <c r="DS142" s="409"/>
      <c r="DT142" s="409"/>
      <c r="DU142" s="409"/>
      <c r="DV142" s="409">
        <v>26858.343449016327</v>
      </c>
      <c r="DW142" s="409">
        <v>0</v>
      </c>
      <c r="DX142" s="409">
        <v>0</v>
      </c>
      <c r="DY142" s="409">
        <v>-5736.6651599999968</v>
      </c>
      <c r="DZ142" s="409">
        <v>554.14691999999923</v>
      </c>
      <c r="EA142" s="409">
        <v>0</v>
      </c>
      <c r="EB142" s="409">
        <v>0</v>
      </c>
      <c r="EC142" s="409">
        <v>-6156.5638774302934</v>
      </c>
      <c r="ED142" s="409">
        <v>0</v>
      </c>
      <c r="EE142" s="409">
        <v>0</v>
      </c>
      <c r="EF142" s="409">
        <v>0</v>
      </c>
      <c r="EG142" s="409">
        <v>0</v>
      </c>
      <c r="EH142" s="409">
        <v>0</v>
      </c>
      <c r="EI142" s="409">
        <v>0</v>
      </c>
      <c r="EJ142" s="409">
        <v>0</v>
      </c>
      <c r="EK142" s="409">
        <v>0</v>
      </c>
      <c r="EL142" s="409">
        <v>0</v>
      </c>
      <c r="EM142" s="409">
        <v>0</v>
      </c>
      <c r="EN142" s="409">
        <v>0</v>
      </c>
      <c r="EO142" s="409">
        <v>0</v>
      </c>
      <c r="EP142" s="409">
        <v>0</v>
      </c>
      <c r="EQ142" s="409">
        <v>0</v>
      </c>
      <c r="ER142" s="409">
        <v>0</v>
      </c>
      <c r="ES142" s="409">
        <v>0</v>
      </c>
      <c r="ET142" s="409">
        <v>0</v>
      </c>
      <c r="EU142" s="409">
        <v>0</v>
      </c>
      <c r="EV142" s="409">
        <v>254</v>
      </c>
      <c r="EW142" s="409">
        <v>0</v>
      </c>
      <c r="EX142" s="409">
        <v>0</v>
      </c>
      <c r="EY142" s="409">
        <v>0</v>
      </c>
      <c r="EZ142" s="409"/>
      <c r="FA142" s="409">
        <v>0</v>
      </c>
      <c r="FB142" s="409"/>
      <c r="FC142" s="409"/>
      <c r="FD142" s="409"/>
      <c r="FE142" s="409"/>
      <c r="FF142" s="409">
        <v>0</v>
      </c>
      <c r="FG142" s="409">
        <v>0</v>
      </c>
      <c r="FH142" s="409">
        <v>0</v>
      </c>
      <c r="FI142" s="409">
        <v>0</v>
      </c>
    </row>
    <row r="143" spans="1:165">
      <c r="A143" s="409">
        <v>141</v>
      </c>
      <c r="B143" s="409" t="s">
        <v>1035</v>
      </c>
      <c r="C143" s="409" t="s">
        <v>2244</v>
      </c>
      <c r="D143" s="409" t="s">
        <v>1994</v>
      </c>
      <c r="E143" s="409" t="s">
        <v>2260</v>
      </c>
      <c r="F143" s="409" t="s">
        <v>1323</v>
      </c>
      <c r="G143" s="409" t="s">
        <v>1323</v>
      </c>
      <c r="H143" s="409" t="s">
        <v>1323</v>
      </c>
      <c r="I143" s="409" t="s">
        <v>1323</v>
      </c>
      <c r="J143" s="409" t="s">
        <v>2245</v>
      </c>
      <c r="K143" s="835">
        <v>44440</v>
      </c>
      <c r="L143" s="409">
        <v>0</v>
      </c>
      <c r="M143" s="409">
        <v>0</v>
      </c>
      <c r="N143" s="409">
        <v>2.347</v>
      </c>
      <c r="O143" s="409">
        <v>2.347</v>
      </c>
      <c r="P143" s="409">
        <v>2.347</v>
      </c>
      <c r="Q143" s="409">
        <v>2.347</v>
      </c>
      <c r="R143" s="409"/>
      <c r="S143" s="409">
        <v>597.01</v>
      </c>
      <c r="T143" s="409">
        <v>243.39</v>
      </c>
      <c r="U143" s="409"/>
      <c r="V143" s="409">
        <v>1972.4187999999999</v>
      </c>
      <c r="W143" s="409">
        <v>1972.4187999999999</v>
      </c>
      <c r="X143" s="409">
        <v>1786.72416</v>
      </c>
      <c r="Y143" s="409">
        <v>0</v>
      </c>
      <c r="Z143" s="409">
        <v>58.401521610818769</v>
      </c>
      <c r="AA143" s="409">
        <v>0</v>
      </c>
      <c r="AB143" s="409">
        <v>0</v>
      </c>
      <c r="AC143" s="409">
        <v>0</v>
      </c>
      <c r="AD143" s="409">
        <v>275.04273698618653</v>
      </c>
      <c r="AE143" s="409">
        <v>962.36041761841363</v>
      </c>
      <c r="AF143" s="409">
        <v>571.22986354855254</v>
      </c>
      <c r="AG143" s="409">
        <v>0</v>
      </c>
      <c r="AH143" s="409">
        <v>0</v>
      </c>
      <c r="AI143" s="409">
        <v>0</v>
      </c>
      <c r="AJ143" s="409">
        <v>0</v>
      </c>
      <c r="AK143" s="409">
        <v>0</v>
      </c>
      <c r="AL143" s="409">
        <v>23.843386167244308</v>
      </c>
      <c r="AM143" s="409"/>
      <c r="AN143" s="409">
        <v>4.0294972231089483</v>
      </c>
      <c r="AO143" s="409">
        <v>0</v>
      </c>
      <c r="AP143" s="409">
        <v>0</v>
      </c>
      <c r="AQ143" s="409">
        <v>0</v>
      </c>
      <c r="AR143" s="409">
        <v>0</v>
      </c>
      <c r="AS143" s="409">
        <v>0</v>
      </c>
      <c r="AT143" s="409">
        <v>0</v>
      </c>
      <c r="AU143" s="409">
        <v>0</v>
      </c>
      <c r="AV143" s="409">
        <v>0</v>
      </c>
      <c r="AW143" s="409">
        <v>0</v>
      </c>
      <c r="AX143" s="409">
        <v>0</v>
      </c>
      <c r="AY143" s="409">
        <v>0</v>
      </c>
      <c r="AZ143" s="409">
        <v>0</v>
      </c>
      <c r="BA143" s="409"/>
      <c r="BB143" s="409">
        <v>0</v>
      </c>
      <c r="BC143" s="409">
        <v>0</v>
      </c>
      <c r="BD143" s="409">
        <v>0</v>
      </c>
      <c r="BE143" s="409">
        <v>0</v>
      </c>
      <c r="BF143" s="409">
        <v>0</v>
      </c>
      <c r="BG143" s="409">
        <v>77.496365956636168</v>
      </c>
      <c r="BH143" s="409">
        <v>0</v>
      </c>
      <c r="BI143" s="409">
        <v>0</v>
      </c>
      <c r="BJ143" s="409">
        <v>0</v>
      </c>
      <c r="BK143" s="409">
        <v>687.02</v>
      </c>
      <c r="BL143" s="409">
        <v>3</v>
      </c>
      <c r="BM143" s="409"/>
      <c r="BN143" s="409"/>
      <c r="BO143" s="409"/>
      <c r="BP143" s="409"/>
      <c r="BQ143" s="409"/>
      <c r="BR143" s="409"/>
      <c r="BS143" s="409"/>
      <c r="BT143" s="409"/>
      <c r="BU143" s="409"/>
      <c r="BV143" s="409">
        <v>648.72622950518871</v>
      </c>
      <c r="BW143" s="409"/>
      <c r="BX143" s="409"/>
      <c r="BY143" s="409"/>
      <c r="BZ143" s="409"/>
      <c r="CA143" s="409"/>
      <c r="CB143" s="409"/>
      <c r="CC143" s="409"/>
      <c r="CD143" s="409"/>
      <c r="CE143" s="409"/>
      <c r="CF143" s="409"/>
      <c r="CG143" s="409"/>
      <c r="CH143" s="409"/>
      <c r="CI143" s="409">
        <v>1789.0079999999998</v>
      </c>
      <c r="CJ143" s="409">
        <v>-183.44080000000008</v>
      </c>
      <c r="CK143" s="409"/>
      <c r="CL143" s="409"/>
      <c r="CM143" s="409"/>
      <c r="CN143" s="409"/>
      <c r="CO143" s="409">
        <v>-205.55025999999995</v>
      </c>
      <c r="CP143" s="409">
        <v>19.85562000000002</v>
      </c>
      <c r="CQ143" s="409">
        <v>30</v>
      </c>
      <c r="CR143" s="409">
        <v>34.908862606470962</v>
      </c>
      <c r="CS143" s="409">
        <v>0</v>
      </c>
      <c r="CT143" s="409">
        <v>0</v>
      </c>
      <c r="CU143" s="409">
        <v>0</v>
      </c>
      <c r="CV143" s="409">
        <v>0</v>
      </c>
      <c r="CW143" s="409">
        <v>0</v>
      </c>
      <c r="CX143" s="409">
        <v>0</v>
      </c>
      <c r="CY143" s="409">
        <v>0</v>
      </c>
      <c r="CZ143" s="409">
        <v>10.311522251540737</v>
      </c>
      <c r="DA143" s="409">
        <v>0</v>
      </c>
      <c r="DB143" s="409">
        <v>0</v>
      </c>
      <c r="DC143" s="409">
        <v>26.167986783469246</v>
      </c>
      <c r="DD143" s="409">
        <v>0</v>
      </c>
      <c r="DE143" s="409">
        <v>0</v>
      </c>
      <c r="DF143" s="409">
        <v>0</v>
      </c>
      <c r="DG143" s="409">
        <v>3.5501012981400351</v>
      </c>
      <c r="DH143" s="409">
        <v>0</v>
      </c>
      <c r="DI143" s="409">
        <v>-0.4259153310873387</v>
      </c>
      <c r="DJ143" s="409"/>
      <c r="DK143" s="409">
        <v>0</v>
      </c>
      <c r="DL143" s="409">
        <v>0</v>
      </c>
      <c r="DM143" s="409">
        <v>0</v>
      </c>
      <c r="DN143" s="409">
        <v>0</v>
      </c>
      <c r="DO143" s="409">
        <v>-0.13373641370658973</v>
      </c>
      <c r="DP143" s="409">
        <v>-0.23735086840562047</v>
      </c>
      <c r="DQ143" s="409">
        <v>0</v>
      </c>
      <c r="DR143" s="409">
        <v>-4.3237451134795943</v>
      </c>
      <c r="DS143" s="409"/>
      <c r="DT143" s="409"/>
      <c r="DU143" s="409"/>
      <c r="DV143" s="409">
        <v>962.36041761841363</v>
      </c>
      <c r="DW143" s="409">
        <v>0</v>
      </c>
      <c r="DX143" s="409">
        <v>0</v>
      </c>
      <c r="DY143" s="409">
        <v>-205.55025999999998</v>
      </c>
      <c r="DZ143" s="409">
        <v>19.855620000000044</v>
      </c>
      <c r="EA143" s="409">
        <v>0</v>
      </c>
      <c r="EB143" s="409">
        <v>0</v>
      </c>
      <c r="EC143" s="409">
        <v>-220.59563708480516</v>
      </c>
      <c r="ED143" s="409">
        <v>0</v>
      </c>
      <c r="EE143" s="409">
        <v>0</v>
      </c>
      <c r="EF143" s="409">
        <v>0</v>
      </c>
      <c r="EG143" s="409">
        <v>0</v>
      </c>
      <c r="EH143" s="409">
        <v>0</v>
      </c>
      <c r="EI143" s="409">
        <v>0</v>
      </c>
      <c r="EJ143" s="409">
        <v>0</v>
      </c>
      <c r="EK143" s="409">
        <v>0</v>
      </c>
      <c r="EL143" s="409">
        <v>0</v>
      </c>
      <c r="EM143" s="409">
        <v>0</v>
      </c>
      <c r="EN143" s="409">
        <v>0</v>
      </c>
      <c r="EO143" s="409">
        <v>0</v>
      </c>
      <c r="EP143" s="409">
        <v>0</v>
      </c>
      <c r="EQ143" s="409">
        <v>0</v>
      </c>
      <c r="ER143" s="409">
        <v>0</v>
      </c>
      <c r="ES143" s="409">
        <v>0</v>
      </c>
      <c r="ET143" s="409">
        <v>0</v>
      </c>
      <c r="EU143" s="409">
        <v>0</v>
      </c>
      <c r="EV143" s="409">
        <v>254</v>
      </c>
      <c r="EW143" s="409">
        <v>0</v>
      </c>
      <c r="EX143" s="409">
        <v>0</v>
      </c>
      <c r="EY143" s="409">
        <v>0</v>
      </c>
      <c r="EZ143" s="409"/>
      <c r="FA143" s="409">
        <v>0</v>
      </c>
      <c r="FB143" s="409"/>
      <c r="FC143" s="409"/>
      <c r="FD143" s="409"/>
      <c r="FE143" s="409"/>
      <c r="FF143" s="409">
        <v>0</v>
      </c>
      <c r="FG143" s="409">
        <v>0</v>
      </c>
      <c r="FH143" s="409">
        <v>0</v>
      </c>
      <c r="FI143" s="409">
        <v>0</v>
      </c>
    </row>
    <row r="144" spans="1:165">
      <c r="A144" s="409">
        <v>142</v>
      </c>
      <c r="B144" s="409" t="s">
        <v>1035</v>
      </c>
      <c r="C144" s="409" t="s">
        <v>2244</v>
      </c>
      <c r="D144" s="409" t="s">
        <v>2254</v>
      </c>
      <c r="E144" s="409" t="s">
        <v>973</v>
      </c>
      <c r="F144" s="409" t="s">
        <v>2261</v>
      </c>
      <c r="G144" s="409" t="s">
        <v>2262</v>
      </c>
      <c r="H144" s="409" t="s">
        <v>1323</v>
      </c>
      <c r="I144" s="409" t="s">
        <v>1323</v>
      </c>
      <c r="J144" s="409" t="s">
        <v>2245</v>
      </c>
      <c r="K144" s="835">
        <v>44440</v>
      </c>
      <c r="L144" s="409">
        <v>0</v>
      </c>
      <c r="M144" s="409">
        <v>0</v>
      </c>
      <c r="N144" s="409">
        <v>0</v>
      </c>
      <c r="O144" s="409">
        <v>0</v>
      </c>
      <c r="P144" s="409">
        <v>0</v>
      </c>
      <c r="Q144" s="409">
        <v>0</v>
      </c>
      <c r="R144" s="409"/>
      <c r="S144" s="409"/>
      <c r="T144" s="409"/>
      <c r="U144" s="409"/>
      <c r="V144" s="409"/>
      <c r="W144" s="409"/>
      <c r="X144" s="409"/>
      <c r="Y144" s="409"/>
      <c r="Z144" s="409"/>
      <c r="AA144" s="409">
        <v>0</v>
      </c>
      <c r="AB144" s="409"/>
      <c r="AC144" s="409"/>
      <c r="AD144" s="409"/>
      <c r="AE144" s="409"/>
      <c r="AF144" s="409"/>
      <c r="AG144" s="409"/>
      <c r="AH144" s="409"/>
      <c r="AI144" s="409"/>
      <c r="AJ144" s="409"/>
      <c r="AK144" s="409"/>
      <c r="AL144" s="409"/>
      <c r="AM144" s="409"/>
      <c r="AN144" s="409"/>
      <c r="AO144" s="409"/>
      <c r="AP144" s="409"/>
      <c r="AQ144" s="409"/>
      <c r="AR144" s="409"/>
      <c r="AS144" s="409"/>
      <c r="AT144" s="409"/>
      <c r="AU144" s="409"/>
      <c r="AV144" s="409"/>
      <c r="AW144" s="409"/>
      <c r="AX144" s="409"/>
      <c r="AY144" s="409"/>
      <c r="AZ144" s="409">
        <v>0</v>
      </c>
      <c r="BA144" s="409"/>
      <c r="BB144" s="409"/>
      <c r="BC144" s="409"/>
      <c r="BD144" s="409"/>
      <c r="BE144" s="409"/>
      <c r="BF144" s="409"/>
      <c r="BG144" s="409"/>
      <c r="BH144" s="409"/>
      <c r="BI144" s="409">
        <v>0</v>
      </c>
      <c r="BJ144" s="409">
        <v>0</v>
      </c>
      <c r="BK144" s="409">
        <v>0</v>
      </c>
      <c r="BL144" s="409">
        <v>7</v>
      </c>
      <c r="BM144" s="409"/>
      <c r="BN144" s="409"/>
      <c r="BO144" s="409"/>
      <c r="BP144" s="409"/>
      <c r="BQ144" s="409"/>
      <c r="BR144" s="409"/>
      <c r="BS144" s="409"/>
      <c r="BT144" s="409"/>
      <c r="BU144" s="409"/>
      <c r="BV144" s="409"/>
      <c r="BW144" s="409"/>
      <c r="BX144" s="409"/>
      <c r="BY144" s="409"/>
      <c r="BZ144" s="409"/>
      <c r="CA144" s="409"/>
      <c r="CB144" s="409"/>
      <c r="CC144" s="409"/>
      <c r="CD144" s="409"/>
      <c r="CE144" s="409"/>
      <c r="CF144" s="409"/>
      <c r="CG144" s="409"/>
      <c r="CH144" s="409"/>
      <c r="CI144" s="409"/>
      <c r="CJ144" s="409">
        <v>-0.03</v>
      </c>
      <c r="CK144" s="409"/>
      <c r="CL144" s="409"/>
      <c r="CM144" s="409"/>
      <c r="CN144" s="409"/>
      <c r="CO144" s="409">
        <v>0</v>
      </c>
      <c r="CP144" s="409">
        <v>0</v>
      </c>
      <c r="CQ144" s="409">
        <v>30</v>
      </c>
      <c r="CR144" s="409"/>
      <c r="CS144" s="409"/>
      <c r="CT144" s="409"/>
      <c r="CU144" s="409"/>
      <c r="CV144" s="409"/>
      <c r="CW144" s="409"/>
      <c r="CX144" s="409"/>
      <c r="CY144" s="409"/>
      <c r="CZ144" s="409"/>
      <c r="DA144" s="409"/>
      <c r="DB144" s="409"/>
      <c r="DC144" s="409"/>
      <c r="DD144" s="409"/>
      <c r="DE144" s="409"/>
      <c r="DF144" s="409"/>
      <c r="DG144" s="409"/>
      <c r="DH144" s="409"/>
      <c r="DI144" s="409"/>
      <c r="DJ144" s="409"/>
      <c r="DK144" s="409">
        <v>0</v>
      </c>
      <c r="DL144" s="409"/>
      <c r="DM144" s="409"/>
      <c r="DN144" s="409"/>
      <c r="DO144" s="409"/>
      <c r="DP144" s="409"/>
      <c r="DQ144" s="409"/>
      <c r="DR144" s="409"/>
      <c r="DS144" s="409"/>
      <c r="DT144" s="409"/>
      <c r="DU144" s="409"/>
      <c r="DV144" s="409"/>
      <c r="DW144" s="409"/>
      <c r="DX144" s="409"/>
      <c r="DY144" s="409"/>
      <c r="DZ144" s="409"/>
      <c r="EA144" s="409"/>
      <c r="EB144" s="409"/>
      <c r="EC144" s="409"/>
      <c r="ED144" s="409"/>
      <c r="EE144" s="409"/>
      <c r="EF144" s="409"/>
      <c r="EG144" s="409"/>
      <c r="EH144" s="409"/>
      <c r="EI144" s="409"/>
      <c r="EJ144" s="409"/>
      <c r="EK144" s="409"/>
      <c r="EL144" s="409"/>
      <c r="EM144" s="409"/>
      <c r="EN144" s="409"/>
      <c r="EO144" s="409"/>
      <c r="EP144" s="409"/>
      <c r="EQ144" s="409"/>
      <c r="ER144" s="409"/>
      <c r="ES144" s="409"/>
      <c r="ET144" s="409"/>
      <c r="EU144" s="409"/>
      <c r="EV144" s="409">
        <v>254</v>
      </c>
      <c r="EW144" s="409"/>
      <c r="EX144" s="409"/>
      <c r="EY144" s="409"/>
      <c r="EZ144" s="409"/>
      <c r="FA144" s="409">
        <v>0</v>
      </c>
      <c r="FB144" s="409"/>
      <c r="FC144" s="409"/>
      <c r="FD144" s="409"/>
      <c r="FE144" s="409"/>
      <c r="FF144" s="409">
        <v>0</v>
      </c>
      <c r="FG144" s="409">
        <v>0</v>
      </c>
      <c r="FH144" s="409">
        <v>0</v>
      </c>
      <c r="FI144" s="409">
        <v>0</v>
      </c>
    </row>
    <row r="145" spans="1:165">
      <c r="A145" s="409">
        <v>143</v>
      </c>
      <c r="B145" s="409" t="s">
        <v>1035</v>
      </c>
      <c r="C145" s="409" t="s">
        <v>2244</v>
      </c>
      <c r="D145" s="409" t="s">
        <v>2254</v>
      </c>
      <c r="E145" s="409" t="s">
        <v>973</v>
      </c>
      <c r="F145" s="409" t="s">
        <v>2261</v>
      </c>
      <c r="G145" s="409" t="s">
        <v>2262</v>
      </c>
      <c r="H145" s="409" t="s">
        <v>1323</v>
      </c>
      <c r="I145" s="409" t="s">
        <v>1323</v>
      </c>
      <c r="J145" s="409" t="s">
        <v>2245</v>
      </c>
      <c r="K145" s="835">
        <v>44440</v>
      </c>
      <c r="L145" s="409">
        <v>0</v>
      </c>
      <c r="M145" s="409">
        <v>0</v>
      </c>
      <c r="N145" s="409">
        <v>4.3639999999999999</v>
      </c>
      <c r="O145" s="409">
        <v>4.3639999999999999</v>
      </c>
      <c r="P145" s="409">
        <v>4.3639999999999999</v>
      </c>
      <c r="Q145" s="409">
        <v>4.3639999999999999</v>
      </c>
      <c r="R145" s="409"/>
      <c r="S145" s="409">
        <v>597.01</v>
      </c>
      <c r="T145" s="409">
        <v>243.39</v>
      </c>
      <c r="U145" s="409"/>
      <c r="V145" s="409">
        <v>3667.5055999999995</v>
      </c>
      <c r="W145" s="409">
        <v>3667.5055999999995</v>
      </c>
      <c r="X145" s="409">
        <v>3322.2259199999999</v>
      </c>
      <c r="Y145" s="409">
        <v>0</v>
      </c>
      <c r="Z145" s="409">
        <v>108.59149565812233</v>
      </c>
      <c r="AA145" s="409">
        <v>0</v>
      </c>
      <c r="AB145" s="409">
        <v>0</v>
      </c>
      <c r="AC145" s="409">
        <v>0</v>
      </c>
      <c r="AD145" s="409">
        <v>511.41308232114102</v>
      </c>
      <c r="AE145" s="409">
        <v>1789.408122065086</v>
      </c>
      <c r="AF145" s="409">
        <v>1062.1419363126899</v>
      </c>
      <c r="AG145" s="409">
        <v>0</v>
      </c>
      <c r="AH145" s="409">
        <v>0</v>
      </c>
      <c r="AI145" s="409">
        <v>0</v>
      </c>
      <c r="AJ145" s="409">
        <v>0</v>
      </c>
      <c r="AK145" s="409">
        <v>0</v>
      </c>
      <c r="AL145" s="409">
        <v>44.334272362102325</v>
      </c>
      <c r="AM145" s="409"/>
      <c r="AN145" s="409">
        <v>7.4924268775660208</v>
      </c>
      <c r="AO145" s="409">
        <v>0</v>
      </c>
      <c r="AP145" s="409">
        <v>0</v>
      </c>
      <c r="AQ145" s="409">
        <v>0</v>
      </c>
      <c r="AR145" s="409">
        <v>0</v>
      </c>
      <c r="AS145" s="409">
        <v>0</v>
      </c>
      <c r="AT145" s="409">
        <v>0</v>
      </c>
      <c r="AU145" s="409">
        <v>0</v>
      </c>
      <c r="AV145" s="409">
        <v>0</v>
      </c>
      <c r="AW145" s="409">
        <v>0</v>
      </c>
      <c r="AX145" s="409">
        <v>0</v>
      </c>
      <c r="AY145" s="409">
        <v>0</v>
      </c>
      <c r="AZ145" s="409">
        <v>0</v>
      </c>
      <c r="BA145" s="409"/>
      <c r="BB145" s="409">
        <v>0</v>
      </c>
      <c r="BC145" s="409">
        <v>0</v>
      </c>
      <c r="BD145" s="409">
        <v>0</v>
      </c>
      <c r="BE145" s="409">
        <v>0</v>
      </c>
      <c r="BF145" s="409">
        <v>0</v>
      </c>
      <c r="BG145" s="409">
        <v>144.09635323168311</v>
      </c>
      <c r="BH145" s="409">
        <v>0</v>
      </c>
      <c r="BI145" s="409">
        <v>0</v>
      </c>
      <c r="BJ145" s="409">
        <v>0</v>
      </c>
      <c r="BK145" s="409">
        <v>0</v>
      </c>
      <c r="BL145" s="409">
        <v>0</v>
      </c>
      <c r="BM145" s="409"/>
      <c r="BN145" s="409"/>
      <c r="BO145" s="409"/>
      <c r="BP145" s="409"/>
      <c r="BQ145" s="409"/>
      <c r="BR145" s="409">
        <v>398.69503999999995</v>
      </c>
      <c r="BS145" s="409"/>
      <c r="BT145" s="409"/>
      <c r="BU145" s="409"/>
      <c r="BV145" s="409">
        <v>1206.2382895443729</v>
      </c>
      <c r="BW145" s="409"/>
      <c r="BX145" s="409"/>
      <c r="BY145" s="409"/>
      <c r="BZ145" s="409"/>
      <c r="CA145" s="409"/>
      <c r="CB145" s="409"/>
      <c r="CC145" s="409"/>
      <c r="CD145" s="409"/>
      <c r="CE145" s="409"/>
      <c r="CF145" s="409"/>
      <c r="CG145" s="409"/>
      <c r="CH145" s="409"/>
      <c r="CI145" s="409">
        <v>2920.8512000000001</v>
      </c>
      <c r="CJ145" s="409">
        <v>-306.57500000000073</v>
      </c>
      <c r="CK145" s="409"/>
      <c r="CL145" s="409"/>
      <c r="CM145" s="409"/>
      <c r="CN145" s="409"/>
      <c r="CO145" s="409">
        <v>-382.19911999999994</v>
      </c>
      <c r="CP145" s="409">
        <v>36.919440000000037</v>
      </c>
      <c r="CQ145" s="409">
        <v>30</v>
      </c>
      <c r="CR145" s="409">
        <v>64.909363619360192</v>
      </c>
      <c r="CS145" s="409">
        <v>0</v>
      </c>
      <c r="CT145" s="409">
        <v>0</v>
      </c>
      <c r="CU145" s="409">
        <v>0</v>
      </c>
      <c r="CV145" s="409">
        <v>0</v>
      </c>
      <c r="CW145" s="409">
        <v>0</v>
      </c>
      <c r="CX145" s="409">
        <v>0</v>
      </c>
      <c r="CY145" s="409">
        <v>0</v>
      </c>
      <c r="CZ145" s="409">
        <v>19.173192631326742</v>
      </c>
      <c r="DA145" s="409">
        <v>0</v>
      </c>
      <c r="DB145" s="409">
        <v>0</v>
      </c>
      <c r="DC145" s="409">
        <v>48.656623060528318</v>
      </c>
      <c r="DD145" s="409">
        <v>0</v>
      </c>
      <c r="DE145" s="409">
        <v>0</v>
      </c>
      <c r="DF145" s="409">
        <v>0</v>
      </c>
      <c r="DG145" s="409">
        <v>6.6010405049352698</v>
      </c>
      <c r="DH145" s="409">
        <v>0</v>
      </c>
      <c r="DI145" s="409">
        <v>-0.79194482525144849</v>
      </c>
      <c r="DJ145" s="409"/>
      <c r="DK145" s="409">
        <v>0</v>
      </c>
      <c r="DL145" s="409">
        <v>0</v>
      </c>
      <c r="DM145" s="409">
        <v>0</v>
      </c>
      <c r="DN145" s="409">
        <v>0</v>
      </c>
      <c r="DO145" s="409">
        <v>-0.24866881526014595</v>
      </c>
      <c r="DP145" s="409">
        <v>-0.44132901138565384</v>
      </c>
      <c r="DQ145" s="409">
        <v>0</v>
      </c>
      <c r="DR145" s="409">
        <v>-8.0395499255325724</v>
      </c>
      <c r="DS145" s="409"/>
      <c r="DT145" s="409"/>
      <c r="DU145" s="409"/>
      <c r="DV145" s="409">
        <v>1789.408122065086</v>
      </c>
      <c r="DW145" s="409">
        <v>0</v>
      </c>
      <c r="DX145" s="409">
        <v>0</v>
      </c>
      <c r="DY145" s="409">
        <v>-382.19911999999977</v>
      </c>
      <c r="DZ145" s="409">
        <v>36.919440000000122</v>
      </c>
      <c r="EA145" s="409">
        <v>0</v>
      </c>
      <c r="EB145" s="409">
        <v>0</v>
      </c>
      <c r="EC145" s="409">
        <v>-410.17441850792056</v>
      </c>
      <c r="ED145" s="409">
        <v>0</v>
      </c>
      <c r="EE145" s="409">
        <v>0</v>
      </c>
      <c r="EF145" s="409">
        <v>0</v>
      </c>
      <c r="EG145" s="409">
        <v>0</v>
      </c>
      <c r="EH145" s="409">
        <v>0</v>
      </c>
      <c r="EI145" s="409">
        <v>0</v>
      </c>
      <c r="EJ145" s="409">
        <v>0</v>
      </c>
      <c r="EK145" s="409">
        <v>0</v>
      </c>
      <c r="EL145" s="409">
        <v>0</v>
      </c>
      <c r="EM145" s="409">
        <v>0</v>
      </c>
      <c r="EN145" s="409">
        <v>0</v>
      </c>
      <c r="EO145" s="409">
        <v>0</v>
      </c>
      <c r="EP145" s="409">
        <v>0</v>
      </c>
      <c r="EQ145" s="409">
        <v>0</v>
      </c>
      <c r="ER145" s="409">
        <v>0</v>
      </c>
      <c r="ES145" s="409">
        <v>0</v>
      </c>
      <c r="ET145" s="409">
        <v>0</v>
      </c>
      <c r="EU145" s="409">
        <v>0</v>
      </c>
      <c r="EV145" s="409">
        <v>254</v>
      </c>
      <c r="EW145" s="409">
        <v>0</v>
      </c>
      <c r="EX145" s="409">
        <v>0</v>
      </c>
      <c r="EY145" s="409">
        <v>0</v>
      </c>
      <c r="EZ145" s="409"/>
      <c r="FA145" s="409">
        <v>0</v>
      </c>
      <c r="FB145" s="409"/>
      <c r="FC145" s="409"/>
      <c r="FD145" s="409"/>
      <c r="FE145" s="409"/>
      <c r="FF145" s="409">
        <v>0</v>
      </c>
      <c r="FG145" s="409">
        <v>0</v>
      </c>
      <c r="FH145" s="409">
        <v>0</v>
      </c>
      <c r="FI145" s="409">
        <v>0</v>
      </c>
    </row>
    <row r="146" spans="1:165">
      <c r="A146" s="409">
        <v>144</v>
      </c>
      <c r="B146" s="409" t="s">
        <v>1035</v>
      </c>
      <c r="C146" s="409" t="s">
        <v>2244</v>
      </c>
      <c r="D146" s="409" t="s">
        <v>2254</v>
      </c>
      <c r="E146" s="409" t="s">
        <v>973</v>
      </c>
      <c r="F146" s="409" t="s">
        <v>2261</v>
      </c>
      <c r="G146" s="409" t="s">
        <v>2263</v>
      </c>
      <c r="H146" s="409" t="s">
        <v>1323</v>
      </c>
      <c r="I146" s="409" t="s">
        <v>1323</v>
      </c>
      <c r="J146" s="409" t="s">
        <v>2245</v>
      </c>
      <c r="K146" s="835">
        <v>44440</v>
      </c>
      <c r="L146" s="409">
        <v>0</v>
      </c>
      <c r="M146" s="409">
        <v>0</v>
      </c>
      <c r="N146" s="409">
        <v>1.4950000000000001</v>
      </c>
      <c r="O146" s="409">
        <v>0.40365000000000001</v>
      </c>
      <c r="P146" s="409">
        <v>1.4950000000000001</v>
      </c>
      <c r="Q146" s="409">
        <v>0.40365000000000001</v>
      </c>
      <c r="R146" s="409"/>
      <c r="S146" s="409">
        <v>597.01</v>
      </c>
      <c r="T146" s="409">
        <v>243.39</v>
      </c>
      <c r="U146" s="409"/>
      <c r="V146" s="409">
        <v>1256.3980000000001</v>
      </c>
      <c r="W146" s="409">
        <v>1256.3980000000001</v>
      </c>
      <c r="X146" s="409">
        <v>1138.1136000000001</v>
      </c>
      <c r="Y146" s="409">
        <v>0</v>
      </c>
      <c r="Z146" s="409">
        <v>37.200798810470417</v>
      </c>
      <c r="AA146" s="409">
        <v>0</v>
      </c>
      <c r="AB146" s="409">
        <v>0</v>
      </c>
      <c r="AC146" s="409">
        <v>0</v>
      </c>
      <c r="AD146" s="409">
        <v>175.19765308664205</v>
      </c>
      <c r="AE146" s="409">
        <v>613.00759452046373</v>
      </c>
      <c r="AF146" s="409">
        <v>363.86393097788073</v>
      </c>
      <c r="AG146" s="409">
        <v>0</v>
      </c>
      <c r="AH146" s="409">
        <v>0</v>
      </c>
      <c r="AI146" s="409">
        <v>0</v>
      </c>
      <c r="AJ146" s="409">
        <v>0</v>
      </c>
      <c r="AK146" s="409">
        <v>0</v>
      </c>
      <c r="AL146" s="409">
        <v>15.187840783992435</v>
      </c>
      <c r="AM146" s="409"/>
      <c r="AN146" s="409">
        <v>2.5667227731350142</v>
      </c>
      <c r="AO146" s="409">
        <v>0</v>
      </c>
      <c r="AP146" s="409">
        <v>0</v>
      </c>
      <c r="AQ146" s="409">
        <v>0</v>
      </c>
      <c r="AR146" s="409">
        <v>0</v>
      </c>
      <c r="AS146" s="409">
        <v>0</v>
      </c>
      <c r="AT146" s="409">
        <v>0</v>
      </c>
      <c r="AU146" s="409">
        <v>0</v>
      </c>
      <c r="AV146" s="409">
        <v>0</v>
      </c>
      <c r="AW146" s="409">
        <v>0</v>
      </c>
      <c r="AX146" s="409">
        <v>0</v>
      </c>
      <c r="AY146" s="409">
        <v>0</v>
      </c>
      <c r="AZ146" s="409">
        <v>0</v>
      </c>
      <c r="BA146" s="409"/>
      <c r="BB146" s="409">
        <v>0</v>
      </c>
      <c r="BC146" s="409">
        <v>0</v>
      </c>
      <c r="BD146" s="409">
        <v>0</v>
      </c>
      <c r="BE146" s="409">
        <v>0</v>
      </c>
      <c r="BF146" s="409">
        <v>0</v>
      </c>
      <c r="BG146" s="409">
        <v>49.363897360533052</v>
      </c>
      <c r="BH146" s="409">
        <v>0</v>
      </c>
      <c r="BI146" s="409">
        <v>0</v>
      </c>
      <c r="BJ146" s="409">
        <v>0</v>
      </c>
      <c r="BK146" s="409">
        <v>0</v>
      </c>
      <c r="BL146" s="409">
        <v>0</v>
      </c>
      <c r="BM146" s="409"/>
      <c r="BN146" s="409"/>
      <c r="BO146" s="409"/>
      <c r="BP146" s="409"/>
      <c r="BQ146" s="409"/>
      <c r="BR146" s="409"/>
      <c r="BS146" s="409">
        <v>867.70039200000008</v>
      </c>
      <c r="BT146" s="409"/>
      <c r="BU146" s="409"/>
      <c r="BV146" s="409">
        <v>413.22782833841376</v>
      </c>
      <c r="BW146" s="409"/>
      <c r="BX146" s="409"/>
      <c r="BY146" s="409"/>
      <c r="BZ146" s="409"/>
      <c r="CA146" s="409"/>
      <c r="CB146" s="409"/>
      <c r="CC146" s="409"/>
      <c r="CD146" s="409"/>
      <c r="CE146" s="409"/>
      <c r="CF146" s="409"/>
      <c r="CG146" s="409"/>
      <c r="CH146" s="409"/>
      <c r="CI146" s="409">
        <v>267.96800000000002</v>
      </c>
      <c r="CJ146" s="409">
        <v>-30.581357499999967</v>
      </c>
      <c r="CK146" s="409"/>
      <c r="CL146" s="409"/>
      <c r="CM146" s="409"/>
      <c r="CN146" s="409"/>
      <c r="CO146" s="409">
        <v>-130.93209999999999</v>
      </c>
      <c r="CP146" s="409">
        <v>12.647700000000013</v>
      </c>
      <c r="CQ146" s="409">
        <v>30</v>
      </c>
      <c r="CR146" s="409">
        <v>22.236365401224703</v>
      </c>
      <c r="CS146" s="409">
        <v>0</v>
      </c>
      <c r="CT146" s="409">
        <v>0</v>
      </c>
      <c r="CU146" s="409">
        <v>0</v>
      </c>
      <c r="CV146" s="409">
        <v>0</v>
      </c>
      <c r="CW146" s="409">
        <v>0</v>
      </c>
      <c r="CX146" s="409">
        <v>0</v>
      </c>
      <c r="CY146" s="409">
        <v>0</v>
      </c>
      <c r="CZ146" s="409">
        <v>6.5682683281011407</v>
      </c>
      <c r="DA146" s="409">
        <v>0</v>
      </c>
      <c r="DB146" s="409">
        <v>0</v>
      </c>
      <c r="DC146" s="409">
        <v>16.668572748737404</v>
      </c>
      <c r="DD146" s="409">
        <v>0</v>
      </c>
      <c r="DE146" s="409">
        <v>0</v>
      </c>
      <c r="DF146" s="409">
        <v>0</v>
      </c>
      <c r="DG146" s="409">
        <v>2.261355535031683</v>
      </c>
      <c r="DH146" s="409">
        <v>0</v>
      </c>
      <c r="DI146" s="409">
        <v>-0.27130098848554951</v>
      </c>
      <c r="DJ146" s="409"/>
      <c r="DK146" s="409">
        <v>0</v>
      </c>
      <c r="DL146" s="409">
        <v>0</v>
      </c>
      <c r="DM146" s="409">
        <v>0</v>
      </c>
      <c r="DN146" s="409">
        <v>0</v>
      </c>
      <c r="DO146" s="409">
        <v>-8.5187873238753653E-2</v>
      </c>
      <c r="DP146" s="409">
        <v>-0.15118855912501195</v>
      </c>
      <c r="DQ146" s="409">
        <v>0</v>
      </c>
      <c r="DR146" s="409">
        <v>-2.7541537897963333</v>
      </c>
      <c r="DS146" s="409"/>
      <c r="DT146" s="409"/>
      <c r="DU146" s="409"/>
      <c r="DV146" s="409">
        <v>613.00759452046373</v>
      </c>
      <c r="DW146" s="409">
        <v>0</v>
      </c>
      <c r="DX146" s="409">
        <v>0</v>
      </c>
      <c r="DY146" s="409">
        <v>-130.93209999999999</v>
      </c>
      <c r="DZ146" s="409">
        <v>12.647700000000043</v>
      </c>
      <c r="EA146" s="409">
        <v>0</v>
      </c>
      <c r="EB146" s="409">
        <v>0</v>
      </c>
      <c r="EC146" s="409">
        <v>-140.51575519462449</v>
      </c>
      <c r="ED146" s="409">
        <v>0</v>
      </c>
      <c r="EE146" s="409">
        <v>0</v>
      </c>
      <c r="EF146" s="409">
        <v>0</v>
      </c>
      <c r="EG146" s="409">
        <v>0</v>
      </c>
      <c r="EH146" s="409">
        <v>0</v>
      </c>
      <c r="EI146" s="409">
        <v>0</v>
      </c>
      <c r="EJ146" s="409">
        <v>0</v>
      </c>
      <c r="EK146" s="409">
        <v>0</v>
      </c>
      <c r="EL146" s="409">
        <v>0</v>
      </c>
      <c r="EM146" s="409">
        <v>0</v>
      </c>
      <c r="EN146" s="409">
        <v>0</v>
      </c>
      <c r="EO146" s="409">
        <v>0</v>
      </c>
      <c r="EP146" s="409">
        <v>0</v>
      </c>
      <c r="EQ146" s="409">
        <v>0</v>
      </c>
      <c r="ER146" s="409">
        <v>0</v>
      </c>
      <c r="ES146" s="409">
        <v>0</v>
      </c>
      <c r="ET146" s="409">
        <v>0</v>
      </c>
      <c r="EU146" s="409">
        <v>0</v>
      </c>
      <c r="EV146" s="409">
        <v>254</v>
      </c>
      <c r="EW146" s="409">
        <v>0</v>
      </c>
      <c r="EX146" s="409">
        <v>0</v>
      </c>
      <c r="EY146" s="409">
        <v>0</v>
      </c>
      <c r="EZ146" s="409"/>
      <c r="FA146" s="409">
        <v>0</v>
      </c>
      <c r="FB146" s="409"/>
      <c r="FC146" s="409"/>
      <c r="FD146" s="409"/>
      <c r="FE146" s="409"/>
      <c r="FF146" s="409">
        <v>0</v>
      </c>
      <c r="FG146" s="409">
        <v>0</v>
      </c>
      <c r="FH146" s="409">
        <v>0</v>
      </c>
      <c r="FI146" s="409">
        <v>0</v>
      </c>
    </row>
    <row r="147" spans="1:165">
      <c r="A147" s="409">
        <v>145</v>
      </c>
      <c r="B147" s="409" t="s">
        <v>1035</v>
      </c>
      <c r="C147" s="409" t="s">
        <v>2244</v>
      </c>
      <c r="D147" s="409" t="s">
        <v>1991</v>
      </c>
      <c r="E147" s="409" t="s">
        <v>968</v>
      </c>
      <c r="F147" s="409" t="s">
        <v>968</v>
      </c>
      <c r="G147" s="409" t="s">
        <v>1323</v>
      </c>
      <c r="H147" s="409" t="s">
        <v>1323</v>
      </c>
      <c r="I147" s="409" t="s">
        <v>1323</v>
      </c>
      <c r="J147" s="409" t="s">
        <v>2245</v>
      </c>
      <c r="K147" s="835">
        <v>44470</v>
      </c>
      <c r="L147" s="409">
        <v>0</v>
      </c>
      <c r="M147" s="409">
        <v>0</v>
      </c>
      <c r="N147" s="409">
        <v>198.85400000000001</v>
      </c>
      <c r="O147" s="409">
        <v>198.85400000000001</v>
      </c>
      <c r="P147" s="409">
        <v>198.85400000000001</v>
      </c>
      <c r="Q147" s="409">
        <v>198.85400000000001</v>
      </c>
      <c r="R147" s="409"/>
      <c r="S147" s="409">
        <v>597.01</v>
      </c>
      <c r="T147" s="409">
        <v>243.39</v>
      </c>
      <c r="U147" s="409"/>
      <c r="V147" s="409">
        <v>167116.90160000001</v>
      </c>
      <c r="W147" s="409">
        <v>167116.90160000001</v>
      </c>
      <c r="X147" s="409">
        <v>151383.57312000002</v>
      </c>
      <c r="Y147" s="409">
        <v>0</v>
      </c>
      <c r="Z147" s="409">
        <v>4948.1790278644039</v>
      </c>
      <c r="AA147" s="409">
        <v>0</v>
      </c>
      <c r="AB147" s="409">
        <v>0</v>
      </c>
      <c r="AC147" s="409">
        <v>0</v>
      </c>
      <c r="AD147" s="409">
        <v>23303.514452769978</v>
      </c>
      <c r="AE147" s="409">
        <v>81537.800803192178</v>
      </c>
      <c r="AF147" s="409">
        <v>48398.527177709359</v>
      </c>
      <c r="AG147" s="409">
        <v>0</v>
      </c>
      <c r="AH147" s="409">
        <v>0</v>
      </c>
      <c r="AI147" s="409">
        <v>0</v>
      </c>
      <c r="AJ147" s="409">
        <v>0</v>
      </c>
      <c r="AK147" s="409">
        <v>0</v>
      </c>
      <c r="AL147" s="409">
        <v>2020.1758469966767</v>
      </c>
      <c r="AM147" s="409"/>
      <c r="AN147" s="409">
        <v>341.40674938393988</v>
      </c>
      <c r="AO147" s="409">
        <v>0</v>
      </c>
      <c r="AP147" s="409">
        <v>0</v>
      </c>
      <c r="AQ147" s="409">
        <v>0</v>
      </c>
      <c r="AR147" s="409">
        <v>0</v>
      </c>
      <c r="AS147" s="409">
        <v>0</v>
      </c>
      <c r="AT147" s="409">
        <v>0</v>
      </c>
      <c r="AU147" s="409">
        <v>0</v>
      </c>
      <c r="AV147" s="409">
        <v>0</v>
      </c>
      <c r="AW147" s="409">
        <v>0</v>
      </c>
      <c r="AX147" s="409">
        <v>0</v>
      </c>
      <c r="AY147" s="409">
        <v>0</v>
      </c>
      <c r="AZ147" s="409">
        <v>0</v>
      </c>
      <c r="BA147" s="409"/>
      <c r="BB147" s="409">
        <v>0</v>
      </c>
      <c r="BC147" s="409">
        <v>0</v>
      </c>
      <c r="BD147" s="409">
        <v>0</v>
      </c>
      <c r="BE147" s="409">
        <v>0</v>
      </c>
      <c r="BF147" s="409">
        <v>0</v>
      </c>
      <c r="BG147" s="409">
        <v>6566.0257162083208</v>
      </c>
      <c r="BH147" s="409">
        <v>0</v>
      </c>
      <c r="BI147" s="409">
        <v>48.11</v>
      </c>
      <c r="BJ147" s="409">
        <v>222.89</v>
      </c>
      <c r="BK147" s="409">
        <v>1581.61</v>
      </c>
      <c r="BL147" s="409">
        <v>2001</v>
      </c>
      <c r="BM147" s="409"/>
      <c r="BN147" s="409"/>
      <c r="BO147" s="409"/>
      <c r="BP147" s="409"/>
      <c r="BQ147" s="409"/>
      <c r="BR147" s="409"/>
      <c r="BS147" s="409"/>
      <c r="BT147" s="409"/>
      <c r="BU147" s="409"/>
      <c r="BV147" s="409">
        <v>54964.55289391768</v>
      </c>
      <c r="BW147" s="409"/>
      <c r="BX147" s="409"/>
      <c r="BY147" s="409"/>
      <c r="BZ147" s="409"/>
      <c r="CA147" s="409"/>
      <c r="CB147" s="409"/>
      <c r="CC147" s="409"/>
      <c r="CD147" s="409"/>
      <c r="CE147" s="409"/>
      <c r="CF147" s="409"/>
      <c r="CG147" s="409"/>
      <c r="CH147" s="409"/>
      <c r="CI147" s="409">
        <v>151380.52799999999</v>
      </c>
      <c r="CJ147" s="409">
        <v>-15736.40360000002</v>
      </c>
      <c r="CK147" s="409"/>
      <c r="CL147" s="409"/>
      <c r="CM147" s="409"/>
      <c r="CN147" s="409"/>
      <c r="CO147" s="409">
        <v>-17415.633319999997</v>
      </c>
      <c r="CP147" s="409">
        <v>1682.3048400000016</v>
      </c>
      <c r="CQ147" s="409">
        <v>31</v>
      </c>
      <c r="CR147" s="409">
        <v>2957.7192010000726</v>
      </c>
      <c r="CS147" s="409">
        <v>0</v>
      </c>
      <c r="CT147" s="409">
        <v>0</v>
      </c>
      <c r="CU147" s="409">
        <v>0</v>
      </c>
      <c r="CV147" s="409">
        <v>0</v>
      </c>
      <c r="CW147" s="409">
        <v>0</v>
      </c>
      <c r="CX147" s="409">
        <v>0</v>
      </c>
      <c r="CY147" s="409">
        <v>0</v>
      </c>
      <c r="CZ147" s="409">
        <v>873.66316395734248</v>
      </c>
      <c r="DA147" s="409">
        <v>0</v>
      </c>
      <c r="DB147" s="409">
        <v>0</v>
      </c>
      <c r="DC147" s="409">
        <v>2217.1320169748651</v>
      </c>
      <c r="DD147" s="409">
        <v>0</v>
      </c>
      <c r="DE147" s="409">
        <v>0</v>
      </c>
      <c r="DF147" s="409">
        <v>0</v>
      </c>
      <c r="DG147" s="409">
        <v>300.78902579477653</v>
      </c>
      <c r="DH147" s="409">
        <v>0</v>
      </c>
      <c r="DI147" s="409">
        <v>-36.086479441006304</v>
      </c>
      <c r="DJ147" s="409"/>
      <c r="DK147" s="409">
        <v>0</v>
      </c>
      <c r="DL147" s="409">
        <v>0</v>
      </c>
      <c r="DM147" s="409">
        <v>0</v>
      </c>
      <c r="DN147" s="409">
        <v>0</v>
      </c>
      <c r="DO147" s="409">
        <v>-11.331069795999383</v>
      </c>
      <c r="DP147" s="409">
        <v>-20.109999823575322</v>
      </c>
      <c r="DQ147" s="409">
        <v>0</v>
      </c>
      <c r="DR147" s="409">
        <v>-366.33745666632774</v>
      </c>
      <c r="DS147" s="409"/>
      <c r="DT147" s="409"/>
      <c r="DU147" s="409"/>
      <c r="DV147" s="409">
        <v>81537.800803192178</v>
      </c>
      <c r="DW147" s="409">
        <v>0</v>
      </c>
      <c r="DX147" s="409">
        <v>0</v>
      </c>
      <c r="DY147" s="409">
        <v>-17415.633320000008</v>
      </c>
      <c r="DZ147" s="409">
        <v>1682.3048399999971</v>
      </c>
      <c r="EA147" s="409">
        <v>0</v>
      </c>
      <c r="EB147" s="409">
        <v>0</v>
      </c>
      <c r="EC147" s="409">
        <v>-18690.381259847403</v>
      </c>
      <c r="ED147" s="409">
        <v>0</v>
      </c>
      <c r="EE147" s="409">
        <v>0</v>
      </c>
      <c r="EF147" s="409">
        <v>0</v>
      </c>
      <c r="EG147" s="409">
        <v>0</v>
      </c>
      <c r="EH147" s="409">
        <v>0</v>
      </c>
      <c r="EI147" s="409">
        <v>0</v>
      </c>
      <c r="EJ147" s="409">
        <v>0</v>
      </c>
      <c r="EK147" s="409">
        <v>0</v>
      </c>
      <c r="EL147" s="409">
        <v>0</v>
      </c>
      <c r="EM147" s="409">
        <v>0</v>
      </c>
      <c r="EN147" s="409">
        <v>0</v>
      </c>
      <c r="EO147" s="409">
        <v>0</v>
      </c>
      <c r="EP147" s="409">
        <v>0</v>
      </c>
      <c r="EQ147" s="409">
        <v>0</v>
      </c>
      <c r="ER147" s="409">
        <v>0</v>
      </c>
      <c r="ES147" s="409">
        <v>0</v>
      </c>
      <c r="ET147" s="409">
        <v>0</v>
      </c>
      <c r="EU147" s="409">
        <v>0</v>
      </c>
      <c r="EV147" s="409">
        <v>254</v>
      </c>
      <c r="EW147" s="409">
        <v>0</v>
      </c>
      <c r="EX147" s="409">
        <v>0</v>
      </c>
      <c r="EY147" s="409">
        <v>0</v>
      </c>
      <c r="EZ147" s="409"/>
      <c r="FA147" s="409">
        <v>0</v>
      </c>
      <c r="FB147" s="409"/>
      <c r="FC147" s="409"/>
      <c r="FD147" s="409"/>
      <c r="FE147" s="409"/>
      <c r="FF147" s="409">
        <v>0</v>
      </c>
      <c r="FG147" s="409">
        <v>0</v>
      </c>
      <c r="FH147" s="409">
        <v>0</v>
      </c>
      <c r="FI147" s="409">
        <v>0</v>
      </c>
    </row>
    <row r="148" spans="1:165">
      <c r="A148" s="409">
        <v>146</v>
      </c>
      <c r="B148" s="409" t="s">
        <v>2246</v>
      </c>
      <c r="C148" s="409" t="s">
        <v>2244</v>
      </c>
      <c r="D148" s="409" t="s">
        <v>1991</v>
      </c>
      <c r="E148" s="409" t="s">
        <v>968</v>
      </c>
      <c r="F148" s="409" t="s">
        <v>968</v>
      </c>
      <c r="G148" s="409" t="s">
        <v>1323</v>
      </c>
      <c r="H148" s="409" t="s">
        <v>1323</v>
      </c>
      <c r="I148" s="409" t="s">
        <v>1323</v>
      </c>
      <c r="J148" s="409" t="s">
        <v>2245</v>
      </c>
      <c r="K148" s="835">
        <v>44470</v>
      </c>
      <c r="L148" s="409">
        <v>0</v>
      </c>
      <c r="M148" s="409">
        <v>0</v>
      </c>
      <c r="N148" s="409">
        <v>2.4660000000000002</v>
      </c>
      <c r="O148" s="409">
        <v>2.4660000000000002</v>
      </c>
      <c r="P148" s="409">
        <v>2.4660000000000002</v>
      </c>
      <c r="Q148" s="409">
        <v>2.4660000000000002</v>
      </c>
      <c r="R148" s="409"/>
      <c r="S148" s="409">
        <v>597.01</v>
      </c>
      <c r="T148" s="409">
        <v>243.39</v>
      </c>
      <c r="U148" s="409"/>
      <c r="V148" s="409">
        <v>2072.4264000000003</v>
      </c>
      <c r="W148" s="409">
        <v>2072.4264000000003</v>
      </c>
      <c r="X148" s="409">
        <v>1877.31648</v>
      </c>
      <c r="Y148" s="409">
        <v>0</v>
      </c>
      <c r="Z148" s="409">
        <v>61.362655429177288</v>
      </c>
      <c r="AA148" s="409">
        <v>0</v>
      </c>
      <c r="AB148" s="409">
        <v>0</v>
      </c>
      <c r="AC148" s="409">
        <v>0</v>
      </c>
      <c r="AD148" s="409">
        <v>288.98823579375204</v>
      </c>
      <c r="AE148" s="409">
        <v>1011.155002065193</v>
      </c>
      <c r="AF148" s="409">
        <v>600.19294567990221</v>
      </c>
      <c r="AG148" s="409">
        <v>0</v>
      </c>
      <c r="AH148" s="409">
        <v>0</v>
      </c>
      <c r="AI148" s="409">
        <v>0</v>
      </c>
      <c r="AJ148" s="409">
        <v>0</v>
      </c>
      <c r="AK148" s="409">
        <v>0</v>
      </c>
      <c r="AL148" s="409">
        <v>25.052317975468458</v>
      </c>
      <c r="AM148" s="409"/>
      <c r="AN148" s="409">
        <v>4.2338049221076552</v>
      </c>
      <c r="AO148" s="409">
        <v>0</v>
      </c>
      <c r="AP148" s="409">
        <v>0</v>
      </c>
      <c r="AQ148" s="409">
        <v>0</v>
      </c>
      <c r="AR148" s="409">
        <v>0</v>
      </c>
      <c r="AS148" s="409">
        <v>0</v>
      </c>
      <c r="AT148" s="409">
        <v>0</v>
      </c>
      <c r="AU148" s="409">
        <v>0</v>
      </c>
      <c r="AV148" s="409">
        <v>0</v>
      </c>
      <c r="AW148" s="409">
        <v>0</v>
      </c>
      <c r="AX148" s="409">
        <v>0</v>
      </c>
      <c r="AY148" s="409">
        <v>0</v>
      </c>
      <c r="AZ148" s="409">
        <v>0</v>
      </c>
      <c r="BA148" s="409"/>
      <c r="BB148" s="409">
        <v>0</v>
      </c>
      <c r="BC148" s="409">
        <v>0</v>
      </c>
      <c r="BD148" s="409">
        <v>0</v>
      </c>
      <c r="BE148" s="409">
        <v>0</v>
      </c>
      <c r="BF148" s="409">
        <v>0</v>
      </c>
      <c r="BG148" s="409">
        <v>81.42566614787593</v>
      </c>
      <c r="BH148" s="409">
        <v>0</v>
      </c>
      <c r="BI148" s="409">
        <v>0</v>
      </c>
      <c r="BJ148" s="409">
        <v>0</v>
      </c>
      <c r="BK148" s="409">
        <v>0</v>
      </c>
      <c r="BL148" s="409">
        <v>11</v>
      </c>
      <c r="BM148" s="409"/>
      <c r="BN148" s="409"/>
      <c r="BO148" s="409"/>
      <c r="BP148" s="409"/>
      <c r="BQ148" s="409"/>
      <c r="BR148" s="409"/>
      <c r="BS148" s="409"/>
      <c r="BT148" s="409"/>
      <c r="BU148" s="409"/>
      <c r="BV148" s="409">
        <v>681.61861182777818</v>
      </c>
      <c r="BW148" s="409"/>
      <c r="BX148" s="409"/>
      <c r="BY148" s="409"/>
      <c r="BZ148" s="409"/>
      <c r="CA148" s="409"/>
      <c r="CB148" s="409"/>
      <c r="CC148" s="409"/>
      <c r="CD148" s="409"/>
      <c r="CE148" s="409"/>
      <c r="CF148" s="409"/>
      <c r="CG148" s="409"/>
      <c r="CH148" s="409"/>
      <c r="CI148" s="409">
        <v>1880.3616000000002</v>
      </c>
      <c r="CJ148" s="409">
        <v>-192.09479999999985</v>
      </c>
      <c r="CK148" s="409"/>
      <c r="CL148" s="409"/>
      <c r="CM148" s="409"/>
      <c r="CN148" s="409"/>
      <c r="CO148" s="409">
        <v>-215.97227999999998</v>
      </c>
      <c r="CP148" s="409">
        <v>20.86236000000002</v>
      </c>
      <c r="CQ148" s="409">
        <v>31</v>
      </c>
      <c r="CR148" s="409">
        <v>36.678847544762675</v>
      </c>
      <c r="CS148" s="409">
        <v>0</v>
      </c>
      <c r="CT148" s="409">
        <v>0</v>
      </c>
      <c r="CU148" s="409">
        <v>0</v>
      </c>
      <c r="CV148" s="409">
        <v>0</v>
      </c>
      <c r="CW148" s="409">
        <v>0</v>
      </c>
      <c r="CX148" s="409">
        <v>0</v>
      </c>
      <c r="CY148" s="409">
        <v>0</v>
      </c>
      <c r="CZ148" s="409">
        <v>10.83434762347656</v>
      </c>
      <c r="DA148" s="409">
        <v>0</v>
      </c>
      <c r="DB148" s="409">
        <v>0</v>
      </c>
      <c r="DC148" s="409">
        <v>27.494782875174906</v>
      </c>
      <c r="DD148" s="409">
        <v>0</v>
      </c>
      <c r="DE148" s="409">
        <v>0</v>
      </c>
      <c r="DF148" s="409">
        <v>0</v>
      </c>
      <c r="DG148" s="409">
        <v>3.7301021735037665</v>
      </c>
      <c r="DH148" s="409">
        <v>0</v>
      </c>
      <c r="DI148" s="409">
        <v>-0.44751052682632064</v>
      </c>
      <c r="DJ148" s="409"/>
      <c r="DK148" s="409">
        <v>0</v>
      </c>
      <c r="DL148" s="409">
        <v>0</v>
      </c>
      <c r="DM148" s="409">
        <v>0</v>
      </c>
      <c r="DN148" s="409">
        <v>0</v>
      </c>
      <c r="DO148" s="409">
        <v>-0.14051725445268559</v>
      </c>
      <c r="DP148" s="409">
        <v>-0.24938527545302946</v>
      </c>
      <c r="DQ148" s="409">
        <v>0</v>
      </c>
      <c r="DR148" s="409">
        <v>-4.5429720706607064</v>
      </c>
      <c r="DS148" s="409"/>
      <c r="DT148" s="409"/>
      <c r="DU148" s="409"/>
      <c r="DV148" s="409">
        <v>1011.155002065193</v>
      </c>
      <c r="DW148" s="409">
        <v>0</v>
      </c>
      <c r="DX148" s="409">
        <v>0</v>
      </c>
      <c r="DY148" s="409">
        <v>-215.97227999999996</v>
      </c>
      <c r="DZ148" s="409">
        <v>20.862359999999967</v>
      </c>
      <c r="EA148" s="409">
        <v>0</v>
      </c>
      <c r="EB148" s="409">
        <v>0</v>
      </c>
      <c r="EC148" s="409">
        <v>-231.78050321735384</v>
      </c>
      <c r="ED148" s="409">
        <v>0</v>
      </c>
      <c r="EE148" s="409">
        <v>0</v>
      </c>
      <c r="EF148" s="409">
        <v>0</v>
      </c>
      <c r="EG148" s="409">
        <v>0</v>
      </c>
      <c r="EH148" s="409">
        <v>0</v>
      </c>
      <c r="EI148" s="409">
        <v>0</v>
      </c>
      <c r="EJ148" s="409">
        <v>0</v>
      </c>
      <c r="EK148" s="409">
        <v>0</v>
      </c>
      <c r="EL148" s="409">
        <v>0</v>
      </c>
      <c r="EM148" s="409">
        <v>0</v>
      </c>
      <c r="EN148" s="409">
        <v>0</v>
      </c>
      <c r="EO148" s="409">
        <v>0</v>
      </c>
      <c r="EP148" s="409">
        <v>0</v>
      </c>
      <c r="EQ148" s="409">
        <v>0</v>
      </c>
      <c r="ER148" s="409">
        <v>0</v>
      </c>
      <c r="ES148" s="409">
        <v>0</v>
      </c>
      <c r="ET148" s="409">
        <v>0</v>
      </c>
      <c r="EU148" s="409">
        <v>0</v>
      </c>
      <c r="EV148" s="409">
        <v>254</v>
      </c>
      <c r="EW148" s="409">
        <v>0</v>
      </c>
      <c r="EX148" s="409">
        <v>0</v>
      </c>
      <c r="EY148" s="409">
        <v>0</v>
      </c>
      <c r="EZ148" s="409"/>
      <c r="FA148" s="409">
        <v>0</v>
      </c>
      <c r="FB148" s="409"/>
      <c r="FC148" s="409"/>
      <c r="FD148" s="409"/>
      <c r="FE148" s="409"/>
      <c r="FF148" s="409">
        <v>0</v>
      </c>
      <c r="FG148" s="409">
        <v>0</v>
      </c>
      <c r="FH148" s="409">
        <v>0</v>
      </c>
      <c r="FI148" s="409">
        <v>0</v>
      </c>
    </row>
    <row r="149" spans="1:165">
      <c r="A149" s="409">
        <v>147</v>
      </c>
      <c r="B149" s="409" t="s">
        <v>1035</v>
      </c>
      <c r="C149" s="409" t="s">
        <v>2244</v>
      </c>
      <c r="D149" s="409" t="s">
        <v>1991</v>
      </c>
      <c r="E149" s="409" t="s">
        <v>968</v>
      </c>
      <c r="F149" s="409" t="s">
        <v>2247</v>
      </c>
      <c r="G149" s="409" t="s">
        <v>1323</v>
      </c>
      <c r="H149" s="409" t="s">
        <v>1323</v>
      </c>
      <c r="I149" s="409" t="s">
        <v>1323</v>
      </c>
      <c r="J149" s="409" t="s">
        <v>2245</v>
      </c>
      <c r="K149" s="835">
        <v>44470</v>
      </c>
      <c r="L149" s="409">
        <v>0</v>
      </c>
      <c r="M149" s="409">
        <v>0</v>
      </c>
      <c r="N149" s="409">
        <v>61.98</v>
      </c>
      <c r="O149" s="409">
        <v>61.98</v>
      </c>
      <c r="P149" s="409">
        <v>61.98</v>
      </c>
      <c r="Q149" s="409">
        <v>61.98</v>
      </c>
      <c r="R149" s="409"/>
      <c r="S149" s="409">
        <v>561.96</v>
      </c>
      <c r="T149" s="409">
        <v>243.39</v>
      </c>
      <c r="U149" s="409"/>
      <c r="V149" s="409">
        <v>49915.593000000001</v>
      </c>
      <c r="W149" s="409">
        <v>49915.593000000001</v>
      </c>
      <c r="X149" s="409">
        <v>45023.511599999998</v>
      </c>
      <c r="Y149" s="409">
        <v>0</v>
      </c>
      <c r="Z149" s="409">
        <v>0</v>
      </c>
      <c r="AA149" s="409">
        <v>0</v>
      </c>
      <c r="AB149" s="409">
        <v>0</v>
      </c>
      <c r="AC149" s="409">
        <v>0</v>
      </c>
      <c r="AD149" s="409">
        <v>7263.3782864950317</v>
      </c>
      <c r="AE149" s="409">
        <v>25414.187764801565</v>
      </c>
      <c r="AF149" s="409">
        <v>15085.141432781969</v>
      </c>
      <c r="AG149" s="409">
        <v>0</v>
      </c>
      <c r="AH149" s="409">
        <v>0</v>
      </c>
      <c r="AI149" s="409">
        <v>0</v>
      </c>
      <c r="AJ149" s="409">
        <v>0</v>
      </c>
      <c r="AK149" s="409">
        <v>0</v>
      </c>
      <c r="AL149" s="409">
        <v>0</v>
      </c>
      <c r="AM149" s="409"/>
      <c r="AN149" s="409">
        <v>106.41169062134325</v>
      </c>
      <c r="AO149" s="409">
        <v>0</v>
      </c>
      <c r="AP149" s="409">
        <v>0</v>
      </c>
      <c r="AQ149" s="409">
        <v>0</v>
      </c>
      <c r="AR149" s="409">
        <v>0</v>
      </c>
      <c r="AS149" s="409">
        <v>0</v>
      </c>
      <c r="AT149" s="409">
        <v>0</v>
      </c>
      <c r="AU149" s="409">
        <v>0</v>
      </c>
      <c r="AV149" s="409">
        <v>0</v>
      </c>
      <c r="AW149" s="409">
        <v>0</v>
      </c>
      <c r="AX149" s="409">
        <v>0</v>
      </c>
      <c r="AY149" s="409">
        <v>0</v>
      </c>
      <c r="AZ149" s="409">
        <v>0</v>
      </c>
      <c r="BA149" s="409"/>
      <c r="BB149" s="409">
        <v>0</v>
      </c>
      <c r="BC149" s="409">
        <v>0</v>
      </c>
      <c r="BD149" s="409">
        <v>0</v>
      </c>
      <c r="BE149" s="409">
        <v>0</v>
      </c>
      <c r="BF149" s="409">
        <v>0</v>
      </c>
      <c r="BG149" s="409">
        <v>2046.5380323784873</v>
      </c>
      <c r="BH149" s="409">
        <v>0</v>
      </c>
      <c r="BI149" s="409">
        <v>0</v>
      </c>
      <c r="BJ149" s="409">
        <v>0</v>
      </c>
      <c r="BK149" s="409">
        <v>0</v>
      </c>
      <c r="BL149" s="409">
        <v>150</v>
      </c>
      <c r="BM149" s="409"/>
      <c r="BN149" s="409"/>
      <c r="BO149" s="409"/>
      <c r="BP149" s="409"/>
      <c r="BQ149" s="409"/>
      <c r="BR149" s="409"/>
      <c r="BS149" s="409"/>
      <c r="BT149" s="409">
        <v>29265.096599999997</v>
      </c>
      <c r="BU149" s="409"/>
      <c r="BV149" s="409">
        <v>17131.679465160458</v>
      </c>
      <c r="BW149" s="409"/>
      <c r="BX149" s="409"/>
      <c r="BY149" s="409"/>
      <c r="BZ149" s="409"/>
      <c r="CA149" s="409"/>
      <c r="CB149" s="409"/>
      <c r="CC149" s="409"/>
      <c r="CD149" s="409"/>
      <c r="CE149" s="409"/>
      <c r="CF149" s="409"/>
      <c r="CG149" s="409"/>
      <c r="CH149" s="409"/>
      <c r="CI149" s="409">
        <v>15758.414999999999</v>
      </c>
      <c r="CJ149" s="409">
        <v>-1712.5373999999993</v>
      </c>
      <c r="CK149" s="409"/>
      <c r="CL149" s="409"/>
      <c r="CM149" s="409"/>
      <c r="CN149" s="409"/>
      <c r="CO149" s="409">
        <v>-5416.432200000002</v>
      </c>
      <c r="CP149" s="409">
        <v>524.3508000000005</v>
      </c>
      <c r="CQ149" s="409">
        <v>31</v>
      </c>
      <c r="CR149" s="409">
        <v>933.59270584498881</v>
      </c>
      <c r="CS149" s="409">
        <v>0</v>
      </c>
      <c r="CT149" s="409">
        <v>0</v>
      </c>
      <c r="CU149" s="409">
        <v>0</v>
      </c>
      <c r="CV149" s="409">
        <v>0</v>
      </c>
      <c r="CW149" s="409">
        <v>0</v>
      </c>
      <c r="CX149" s="409">
        <v>0</v>
      </c>
      <c r="CY149" s="409">
        <v>0</v>
      </c>
      <c r="CZ149" s="409">
        <v>272.30854245866885</v>
      </c>
      <c r="DA149" s="409">
        <v>0</v>
      </c>
      <c r="DB149" s="409">
        <v>0</v>
      </c>
      <c r="DC149" s="409">
        <v>691.04892238578213</v>
      </c>
      <c r="DD149" s="409">
        <v>0</v>
      </c>
      <c r="DE149" s="409">
        <v>0</v>
      </c>
      <c r="DF149" s="409">
        <v>0</v>
      </c>
      <c r="DG149" s="409">
        <v>93.751716428939062</v>
      </c>
      <c r="DH149" s="409">
        <v>0</v>
      </c>
      <c r="DI149" s="409">
        <v>0</v>
      </c>
      <c r="DJ149" s="409"/>
      <c r="DK149" s="409">
        <v>0</v>
      </c>
      <c r="DL149" s="409">
        <v>0</v>
      </c>
      <c r="DM149" s="409">
        <v>0</v>
      </c>
      <c r="DN149" s="409">
        <v>0</v>
      </c>
      <c r="DO149" s="409">
        <v>0</v>
      </c>
      <c r="DP149" s="409">
        <v>-6.2680046117513228</v>
      </c>
      <c r="DQ149" s="409">
        <v>0</v>
      </c>
      <c r="DR149" s="409">
        <v>-117.24847081664934</v>
      </c>
      <c r="DS149" s="409"/>
      <c r="DT149" s="409"/>
      <c r="DU149" s="409"/>
      <c r="DV149" s="409">
        <v>25414.187764801565</v>
      </c>
      <c r="DW149" s="409">
        <v>0</v>
      </c>
      <c r="DX149" s="409">
        <v>0</v>
      </c>
      <c r="DY149" s="409">
        <v>-5416.4322000000029</v>
      </c>
      <c r="DZ149" s="409">
        <v>524.35080000000016</v>
      </c>
      <c r="EA149" s="409">
        <v>0</v>
      </c>
      <c r="EB149" s="409">
        <v>0</v>
      </c>
      <c r="EC149" s="409">
        <v>-5825.5294360955377</v>
      </c>
      <c r="ED149" s="409">
        <v>0</v>
      </c>
      <c r="EE149" s="409">
        <v>0</v>
      </c>
      <c r="EF149" s="409">
        <v>0</v>
      </c>
      <c r="EG149" s="409">
        <v>0</v>
      </c>
      <c r="EH149" s="409">
        <v>0</v>
      </c>
      <c r="EI149" s="409">
        <v>0</v>
      </c>
      <c r="EJ149" s="409">
        <v>0</v>
      </c>
      <c r="EK149" s="409">
        <v>0</v>
      </c>
      <c r="EL149" s="409">
        <v>0</v>
      </c>
      <c r="EM149" s="409">
        <v>0</v>
      </c>
      <c r="EN149" s="409">
        <v>0</v>
      </c>
      <c r="EO149" s="409">
        <v>0</v>
      </c>
      <c r="EP149" s="409">
        <v>0</v>
      </c>
      <c r="EQ149" s="409">
        <v>0</v>
      </c>
      <c r="ER149" s="409">
        <v>0</v>
      </c>
      <c r="ES149" s="409">
        <v>0</v>
      </c>
      <c r="ET149" s="409">
        <v>0</v>
      </c>
      <c r="EU149" s="409">
        <v>0</v>
      </c>
      <c r="EV149" s="409">
        <v>254</v>
      </c>
      <c r="EW149" s="409">
        <v>0</v>
      </c>
      <c r="EX149" s="409">
        <v>0</v>
      </c>
      <c r="EY149" s="409">
        <v>0</v>
      </c>
      <c r="EZ149" s="409"/>
      <c r="FA149" s="409">
        <v>0</v>
      </c>
      <c r="FB149" s="409"/>
      <c r="FC149" s="409"/>
      <c r="FD149" s="409"/>
      <c r="FE149" s="409"/>
      <c r="FF149" s="409">
        <v>0</v>
      </c>
      <c r="FG149" s="409">
        <v>0</v>
      </c>
      <c r="FH149" s="409">
        <v>0</v>
      </c>
      <c r="FI149" s="409">
        <v>0</v>
      </c>
    </row>
    <row r="150" spans="1:165">
      <c r="A150" s="409">
        <v>148</v>
      </c>
      <c r="B150" s="409" t="s">
        <v>1035</v>
      </c>
      <c r="C150" s="409" t="s">
        <v>2244</v>
      </c>
      <c r="D150" s="409" t="s">
        <v>1991</v>
      </c>
      <c r="E150" s="409" t="s">
        <v>968</v>
      </c>
      <c r="F150" s="409" t="s">
        <v>2248</v>
      </c>
      <c r="G150" s="409" t="s">
        <v>1323</v>
      </c>
      <c r="H150" s="409" t="s">
        <v>1323</v>
      </c>
      <c r="I150" s="409" t="s">
        <v>1323</v>
      </c>
      <c r="J150" s="409" t="s">
        <v>2245</v>
      </c>
      <c r="K150" s="835">
        <v>44470</v>
      </c>
      <c r="L150" s="409">
        <v>0</v>
      </c>
      <c r="M150" s="409">
        <v>0</v>
      </c>
      <c r="N150" s="409">
        <v>92.147999999999996</v>
      </c>
      <c r="O150" s="409">
        <v>92.147999999999996</v>
      </c>
      <c r="P150" s="409">
        <v>92.147999999999996</v>
      </c>
      <c r="Q150" s="409">
        <v>92.147999999999996</v>
      </c>
      <c r="R150" s="409"/>
      <c r="S150" s="409">
        <v>561.96</v>
      </c>
      <c r="T150" s="409">
        <v>243.39</v>
      </c>
      <c r="U150" s="409"/>
      <c r="V150" s="409">
        <v>74211.391799999998</v>
      </c>
      <c r="W150" s="409">
        <v>74211.391799999998</v>
      </c>
      <c r="X150" s="409">
        <v>66938.15015999999</v>
      </c>
      <c r="Y150" s="409">
        <v>0</v>
      </c>
      <c r="Z150" s="409">
        <v>0</v>
      </c>
      <c r="AA150" s="409">
        <v>0</v>
      </c>
      <c r="AB150" s="409">
        <v>0</v>
      </c>
      <c r="AC150" s="409">
        <v>0</v>
      </c>
      <c r="AD150" s="409">
        <v>10798.738017811296</v>
      </c>
      <c r="AE150" s="409">
        <v>37784.229979847281</v>
      </c>
      <c r="AF150" s="409">
        <v>22427.647833946321</v>
      </c>
      <c r="AG150" s="409">
        <v>0</v>
      </c>
      <c r="AH150" s="409">
        <v>0</v>
      </c>
      <c r="AI150" s="409">
        <v>0</v>
      </c>
      <c r="AJ150" s="409">
        <v>0</v>
      </c>
      <c r="AK150" s="409">
        <v>0</v>
      </c>
      <c r="AL150" s="409">
        <v>0</v>
      </c>
      <c r="AM150" s="409"/>
      <c r="AN150" s="409">
        <v>158.20626762464565</v>
      </c>
      <c r="AO150" s="409">
        <v>0</v>
      </c>
      <c r="AP150" s="409">
        <v>0</v>
      </c>
      <c r="AQ150" s="409">
        <v>0</v>
      </c>
      <c r="AR150" s="409">
        <v>0</v>
      </c>
      <c r="AS150" s="409">
        <v>0</v>
      </c>
      <c r="AT150" s="409">
        <v>0</v>
      </c>
      <c r="AU150" s="409">
        <v>0</v>
      </c>
      <c r="AV150" s="409">
        <v>0</v>
      </c>
      <c r="AW150" s="409">
        <v>0</v>
      </c>
      <c r="AX150" s="409">
        <v>0</v>
      </c>
      <c r="AY150" s="409">
        <v>0</v>
      </c>
      <c r="AZ150" s="409">
        <v>0</v>
      </c>
      <c r="BA150" s="409"/>
      <c r="BB150" s="409">
        <v>0</v>
      </c>
      <c r="BC150" s="409">
        <v>0</v>
      </c>
      <c r="BD150" s="409">
        <v>0</v>
      </c>
      <c r="BE150" s="409">
        <v>0</v>
      </c>
      <c r="BF150" s="409">
        <v>0</v>
      </c>
      <c r="BG150" s="409">
        <v>3042.6651598517724</v>
      </c>
      <c r="BH150" s="409">
        <v>0</v>
      </c>
      <c r="BI150" s="409">
        <v>0</v>
      </c>
      <c r="BJ150" s="409">
        <v>0</v>
      </c>
      <c r="BK150" s="409">
        <v>0</v>
      </c>
      <c r="BL150" s="409">
        <v>1289</v>
      </c>
      <c r="BM150" s="409"/>
      <c r="BN150" s="409"/>
      <c r="BO150" s="409"/>
      <c r="BP150" s="409"/>
      <c r="BQ150" s="409"/>
      <c r="BR150" s="409"/>
      <c r="BS150" s="409"/>
      <c r="BT150" s="409">
        <v>26775.444359999994</v>
      </c>
      <c r="BU150" s="409"/>
      <c r="BV150" s="409">
        <v>25470.312993798092</v>
      </c>
      <c r="BW150" s="409"/>
      <c r="BX150" s="409"/>
      <c r="BY150" s="409"/>
      <c r="BZ150" s="409"/>
      <c r="CA150" s="409"/>
      <c r="CB150" s="409"/>
      <c r="CC150" s="409"/>
      <c r="CD150" s="409"/>
      <c r="CE150" s="409"/>
      <c r="CF150" s="409"/>
      <c r="CG150" s="409"/>
      <c r="CH150" s="409"/>
      <c r="CI150" s="409">
        <v>40163.577499999999</v>
      </c>
      <c r="CJ150" s="409">
        <v>-4363.2875799999965</v>
      </c>
      <c r="CK150" s="409"/>
      <c r="CL150" s="409"/>
      <c r="CM150" s="409"/>
      <c r="CN150" s="409"/>
      <c r="CO150" s="409">
        <v>-8052.8137200000037</v>
      </c>
      <c r="CP150" s="409">
        <v>779.57208000000071</v>
      </c>
      <c r="CQ150" s="409">
        <v>31</v>
      </c>
      <c r="CR150" s="409">
        <v>1388.007432368584</v>
      </c>
      <c r="CS150" s="409">
        <v>0</v>
      </c>
      <c r="CT150" s="409">
        <v>0</v>
      </c>
      <c r="CU150" s="409">
        <v>0</v>
      </c>
      <c r="CV150" s="409">
        <v>0</v>
      </c>
      <c r="CW150" s="409">
        <v>0</v>
      </c>
      <c r="CX150" s="409">
        <v>0</v>
      </c>
      <c r="CY150" s="409">
        <v>0</v>
      </c>
      <c r="CZ150" s="409">
        <v>404.85136448017874</v>
      </c>
      <c r="DA150" s="409">
        <v>0</v>
      </c>
      <c r="DB150" s="409">
        <v>0</v>
      </c>
      <c r="DC150" s="409">
        <v>1027.4084559536132</v>
      </c>
      <c r="DD150" s="409">
        <v>0</v>
      </c>
      <c r="DE150" s="409">
        <v>0</v>
      </c>
      <c r="DF150" s="409">
        <v>0</v>
      </c>
      <c r="DG150" s="409">
        <v>139.38420725224023</v>
      </c>
      <c r="DH150" s="409">
        <v>0</v>
      </c>
      <c r="DI150" s="409">
        <v>0</v>
      </c>
      <c r="DJ150" s="409"/>
      <c r="DK150" s="409">
        <v>0</v>
      </c>
      <c r="DL150" s="409">
        <v>0</v>
      </c>
      <c r="DM150" s="409">
        <v>0</v>
      </c>
      <c r="DN150" s="409">
        <v>0</v>
      </c>
      <c r="DO150" s="409">
        <v>0</v>
      </c>
      <c r="DP150" s="409">
        <v>-9.3188784924759602</v>
      </c>
      <c r="DQ150" s="409">
        <v>0</v>
      </c>
      <c r="DR150" s="409">
        <v>-174.31771682498555</v>
      </c>
      <c r="DS150" s="409"/>
      <c r="DT150" s="409"/>
      <c r="DU150" s="409"/>
      <c r="DV150" s="409">
        <v>37784.229979847281</v>
      </c>
      <c r="DW150" s="409">
        <v>0</v>
      </c>
      <c r="DX150" s="409">
        <v>0</v>
      </c>
      <c r="DY150" s="409">
        <v>-8052.8137200000056</v>
      </c>
      <c r="DZ150" s="409">
        <v>779.57208000000173</v>
      </c>
      <c r="EA150" s="409">
        <v>0</v>
      </c>
      <c r="EB150" s="409">
        <v>0</v>
      </c>
      <c r="EC150" s="409">
        <v>-8661.0339864041853</v>
      </c>
      <c r="ED150" s="409">
        <v>0</v>
      </c>
      <c r="EE150" s="409">
        <v>0</v>
      </c>
      <c r="EF150" s="409">
        <v>0</v>
      </c>
      <c r="EG150" s="409">
        <v>0</v>
      </c>
      <c r="EH150" s="409">
        <v>0</v>
      </c>
      <c r="EI150" s="409">
        <v>0</v>
      </c>
      <c r="EJ150" s="409">
        <v>0</v>
      </c>
      <c r="EK150" s="409">
        <v>0</v>
      </c>
      <c r="EL150" s="409">
        <v>0</v>
      </c>
      <c r="EM150" s="409">
        <v>0</v>
      </c>
      <c r="EN150" s="409">
        <v>0</v>
      </c>
      <c r="EO150" s="409">
        <v>0</v>
      </c>
      <c r="EP150" s="409">
        <v>0</v>
      </c>
      <c r="EQ150" s="409">
        <v>0</v>
      </c>
      <c r="ER150" s="409">
        <v>0</v>
      </c>
      <c r="ES150" s="409">
        <v>0</v>
      </c>
      <c r="ET150" s="409">
        <v>0</v>
      </c>
      <c r="EU150" s="409">
        <v>0</v>
      </c>
      <c r="EV150" s="409">
        <v>254</v>
      </c>
      <c r="EW150" s="409">
        <v>0</v>
      </c>
      <c r="EX150" s="409">
        <v>0</v>
      </c>
      <c r="EY150" s="409">
        <v>0</v>
      </c>
      <c r="EZ150" s="409"/>
      <c r="FA150" s="409">
        <v>0</v>
      </c>
      <c r="FB150" s="409"/>
      <c r="FC150" s="409"/>
      <c r="FD150" s="409"/>
      <c r="FE150" s="409"/>
      <c r="FF150" s="409">
        <v>0</v>
      </c>
      <c r="FG150" s="409">
        <v>0</v>
      </c>
      <c r="FH150" s="409">
        <v>0</v>
      </c>
      <c r="FI150" s="409">
        <v>0</v>
      </c>
    </row>
    <row r="151" spans="1:165">
      <c r="A151" s="409">
        <v>149</v>
      </c>
      <c r="B151" s="409" t="s">
        <v>1035</v>
      </c>
      <c r="C151" s="409" t="s">
        <v>2244</v>
      </c>
      <c r="D151" s="409" t="s">
        <v>1991</v>
      </c>
      <c r="E151" s="409" t="s">
        <v>968</v>
      </c>
      <c r="F151" s="409" t="s">
        <v>2249</v>
      </c>
      <c r="G151" s="409" t="s">
        <v>1323</v>
      </c>
      <c r="H151" s="409" t="s">
        <v>1323</v>
      </c>
      <c r="I151" s="409" t="s">
        <v>1323</v>
      </c>
      <c r="J151" s="409" t="s">
        <v>2245</v>
      </c>
      <c r="K151" s="835">
        <v>44470</v>
      </c>
      <c r="L151" s="409">
        <v>0</v>
      </c>
      <c r="M151" s="409">
        <v>0</v>
      </c>
      <c r="N151" s="409">
        <v>26.504999999999999</v>
      </c>
      <c r="O151" s="409">
        <v>26.504999999999999</v>
      </c>
      <c r="P151" s="409">
        <v>26.504999999999999</v>
      </c>
      <c r="Q151" s="409">
        <v>26.504999999999999</v>
      </c>
      <c r="R151" s="409"/>
      <c r="S151" s="409">
        <v>561.96</v>
      </c>
      <c r="T151" s="409">
        <v>243.39</v>
      </c>
      <c r="U151" s="409"/>
      <c r="V151" s="409">
        <v>21345.801749999999</v>
      </c>
      <c r="W151" s="409">
        <v>21345.801749999999</v>
      </c>
      <c r="X151" s="409">
        <v>19253.7621</v>
      </c>
      <c r="Y151" s="409">
        <v>0</v>
      </c>
      <c r="Z151" s="409">
        <v>0</v>
      </c>
      <c r="AA151" s="409">
        <v>0</v>
      </c>
      <c r="AB151" s="409">
        <v>0</v>
      </c>
      <c r="AC151" s="409">
        <v>0</v>
      </c>
      <c r="AD151" s="409">
        <v>3106.0961839875899</v>
      </c>
      <c r="AE151" s="409">
        <v>10868.071098839391</v>
      </c>
      <c r="AF151" s="409">
        <v>6450.9789234573427</v>
      </c>
      <c r="AG151" s="409">
        <v>0</v>
      </c>
      <c r="AH151" s="409">
        <v>0</v>
      </c>
      <c r="AI151" s="409">
        <v>0</v>
      </c>
      <c r="AJ151" s="409">
        <v>0</v>
      </c>
      <c r="AK151" s="409">
        <v>0</v>
      </c>
      <c r="AL151" s="409">
        <v>0</v>
      </c>
      <c r="AM151" s="409"/>
      <c r="AN151" s="409">
        <v>45.505676991266583</v>
      </c>
      <c r="AO151" s="409">
        <v>0</v>
      </c>
      <c r="AP151" s="409">
        <v>0</v>
      </c>
      <c r="AQ151" s="409">
        <v>0</v>
      </c>
      <c r="AR151" s="409">
        <v>0</v>
      </c>
      <c r="AS151" s="409">
        <v>0</v>
      </c>
      <c r="AT151" s="409">
        <v>0</v>
      </c>
      <c r="AU151" s="409">
        <v>0</v>
      </c>
      <c r="AV151" s="409">
        <v>0</v>
      </c>
      <c r="AW151" s="409">
        <v>0</v>
      </c>
      <c r="AX151" s="409">
        <v>0</v>
      </c>
      <c r="AY151" s="409">
        <v>0</v>
      </c>
      <c r="AZ151" s="409">
        <v>0</v>
      </c>
      <c r="BA151" s="409"/>
      <c r="BB151" s="409">
        <v>0</v>
      </c>
      <c r="BC151" s="409">
        <v>0</v>
      </c>
      <c r="BD151" s="409">
        <v>0</v>
      </c>
      <c r="BE151" s="409">
        <v>0</v>
      </c>
      <c r="BF151" s="409">
        <v>0</v>
      </c>
      <c r="BG151" s="409">
        <v>875.17732410764449</v>
      </c>
      <c r="BH151" s="409">
        <v>0</v>
      </c>
      <c r="BI151" s="409">
        <v>0</v>
      </c>
      <c r="BJ151" s="409">
        <v>0</v>
      </c>
      <c r="BK151" s="409">
        <v>0</v>
      </c>
      <c r="BL151" s="409">
        <v>569</v>
      </c>
      <c r="BM151" s="409"/>
      <c r="BN151" s="409"/>
      <c r="BO151" s="409"/>
      <c r="BP151" s="409"/>
      <c r="BQ151" s="409"/>
      <c r="BR151" s="409"/>
      <c r="BS151" s="409"/>
      <c r="BT151" s="409">
        <v>1925.3231999999996</v>
      </c>
      <c r="BU151" s="409"/>
      <c r="BV151" s="409">
        <v>7326.1562475649871</v>
      </c>
      <c r="BW151" s="409"/>
      <c r="BX151" s="409"/>
      <c r="BY151" s="409"/>
      <c r="BZ151" s="409"/>
      <c r="CA151" s="409"/>
      <c r="CB151" s="409"/>
      <c r="CC151" s="409"/>
      <c r="CD151" s="409"/>
      <c r="CE151" s="409"/>
      <c r="CF151" s="409"/>
      <c r="CG151" s="409"/>
      <c r="CH151" s="409"/>
      <c r="CI151" s="409">
        <v>17331.7078</v>
      </c>
      <c r="CJ151" s="409">
        <v>-1879.6762999999992</v>
      </c>
      <c r="CK151" s="409"/>
      <c r="CL151" s="409"/>
      <c r="CM151" s="409"/>
      <c r="CN151" s="409"/>
      <c r="CO151" s="409">
        <v>-2316.2719500000012</v>
      </c>
      <c r="CP151" s="409">
        <v>224.23230000000021</v>
      </c>
      <c r="CQ151" s="409">
        <v>31</v>
      </c>
      <c r="CR151" s="409">
        <v>399.23966873864993</v>
      </c>
      <c r="CS151" s="409">
        <v>0</v>
      </c>
      <c r="CT151" s="409">
        <v>0</v>
      </c>
      <c r="CU151" s="409">
        <v>0</v>
      </c>
      <c r="CV151" s="409">
        <v>0</v>
      </c>
      <c r="CW151" s="409">
        <v>0</v>
      </c>
      <c r="CX151" s="409">
        <v>0</v>
      </c>
      <c r="CY151" s="409">
        <v>0</v>
      </c>
      <c r="CZ151" s="409">
        <v>116.44946624503064</v>
      </c>
      <c r="DA151" s="409">
        <v>0</v>
      </c>
      <c r="DB151" s="409">
        <v>0</v>
      </c>
      <c r="DC151" s="409">
        <v>295.51874294667869</v>
      </c>
      <c r="DD151" s="409">
        <v>0</v>
      </c>
      <c r="DE151" s="409">
        <v>0</v>
      </c>
      <c r="DF151" s="409">
        <v>0</v>
      </c>
      <c r="DG151" s="409">
        <v>40.091791609374354</v>
      </c>
      <c r="DH151" s="409">
        <v>0</v>
      </c>
      <c r="DI151" s="409">
        <v>0</v>
      </c>
      <c r="DJ151" s="409"/>
      <c r="DK151" s="409">
        <v>0</v>
      </c>
      <c r="DL151" s="409">
        <v>0</v>
      </c>
      <c r="DM151" s="409">
        <v>0</v>
      </c>
      <c r="DN151" s="409">
        <v>0</v>
      </c>
      <c r="DO151" s="409">
        <v>0</v>
      </c>
      <c r="DP151" s="409">
        <v>-2.6804366285006296</v>
      </c>
      <c r="DQ151" s="409">
        <v>0</v>
      </c>
      <c r="DR151" s="409">
        <v>-50.139895433934996</v>
      </c>
      <c r="DS151" s="409"/>
      <c r="DT151" s="409"/>
      <c r="DU151" s="409"/>
      <c r="DV151" s="409">
        <v>10868.071098839391</v>
      </c>
      <c r="DW151" s="409">
        <v>0</v>
      </c>
      <c r="DX151" s="409">
        <v>0</v>
      </c>
      <c r="DY151" s="409">
        <v>-2316.2719500000003</v>
      </c>
      <c r="DZ151" s="409">
        <v>224.23230000000058</v>
      </c>
      <c r="EA151" s="409">
        <v>0</v>
      </c>
      <c r="EB151" s="409">
        <v>0</v>
      </c>
      <c r="EC151" s="409">
        <v>-2491.217452463894</v>
      </c>
      <c r="ED151" s="409">
        <v>0</v>
      </c>
      <c r="EE151" s="409">
        <v>0</v>
      </c>
      <c r="EF151" s="409">
        <v>0</v>
      </c>
      <c r="EG151" s="409">
        <v>0</v>
      </c>
      <c r="EH151" s="409">
        <v>0</v>
      </c>
      <c r="EI151" s="409">
        <v>0</v>
      </c>
      <c r="EJ151" s="409">
        <v>0</v>
      </c>
      <c r="EK151" s="409">
        <v>0</v>
      </c>
      <c r="EL151" s="409">
        <v>0</v>
      </c>
      <c r="EM151" s="409">
        <v>0</v>
      </c>
      <c r="EN151" s="409">
        <v>0</v>
      </c>
      <c r="EO151" s="409">
        <v>0</v>
      </c>
      <c r="EP151" s="409">
        <v>0</v>
      </c>
      <c r="EQ151" s="409">
        <v>0</v>
      </c>
      <c r="ER151" s="409">
        <v>0</v>
      </c>
      <c r="ES151" s="409">
        <v>0</v>
      </c>
      <c r="ET151" s="409">
        <v>0</v>
      </c>
      <c r="EU151" s="409">
        <v>0</v>
      </c>
      <c r="EV151" s="409">
        <v>254</v>
      </c>
      <c r="EW151" s="409">
        <v>0</v>
      </c>
      <c r="EX151" s="409">
        <v>0</v>
      </c>
      <c r="EY151" s="409">
        <v>0</v>
      </c>
      <c r="EZ151" s="409"/>
      <c r="FA151" s="409">
        <v>0</v>
      </c>
      <c r="FB151" s="409"/>
      <c r="FC151" s="409"/>
      <c r="FD151" s="409"/>
      <c r="FE151" s="409"/>
      <c r="FF151" s="409">
        <v>0</v>
      </c>
      <c r="FG151" s="409">
        <v>0</v>
      </c>
      <c r="FH151" s="409">
        <v>0</v>
      </c>
      <c r="FI151" s="409">
        <v>0</v>
      </c>
    </row>
    <row r="152" spans="1:165">
      <c r="A152" s="409">
        <v>150</v>
      </c>
      <c r="B152" s="409" t="s">
        <v>1035</v>
      </c>
      <c r="C152" s="409" t="s">
        <v>2244</v>
      </c>
      <c r="D152" s="409" t="s">
        <v>1991</v>
      </c>
      <c r="E152" s="409" t="s">
        <v>968</v>
      </c>
      <c r="F152" s="409" t="s">
        <v>2250</v>
      </c>
      <c r="G152" s="409" t="s">
        <v>1323</v>
      </c>
      <c r="H152" s="409" t="s">
        <v>1323</v>
      </c>
      <c r="I152" s="409" t="s">
        <v>1323</v>
      </c>
      <c r="J152" s="409" t="s">
        <v>2245</v>
      </c>
      <c r="K152" s="835">
        <v>44470</v>
      </c>
      <c r="L152" s="409">
        <v>0</v>
      </c>
      <c r="M152" s="409">
        <v>0</v>
      </c>
      <c r="N152" s="409">
        <v>6.5549999999999997</v>
      </c>
      <c r="O152" s="409">
        <v>6.5549999999999997</v>
      </c>
      <c r="P152" s="409">
        <v>6.5549999999999997</v>
      </c>
      <c r="Q152" s="409">
        <v>6.5549999999999997</v>
      </c>
      <c r="R152" s="409"/>
      <c r="S152" s="409">
        <v>561.96</v>
      </c>
      <c r="T152" s="409">
        <v>243.39</v>
      </c>
      <c r="U152" s="409"/>
      <c r="V152" s="409">
        <v>5279.0692500000005</v>
      </c>
      <c r="W152" s="409">
        <v>5279.0692500000005</v>
      </c>
      <c r="X152" s="409">
        <v>4761.6831000000002</v>
      </c>
      <c r="Y152" s="409">
        <v>0</v>
      </c>
      <c r="Z152" s="409">
        <v>0</v>
      </c>
      <c r="AA152" s="409">
        <v>0</v>
      </c>
      <c r="AB152" s="409">
        <v>0</v>
      </c>
      <c r="AC152" s="409">
        <v>0</v>
      </c>
      <c r="AD152" s="409">
        <v>768.17432507219962</v>
      </c>
      <c r="AE152" s="409">
        <v>2687.8025298204948</v>
      </c>
      <c r="AF152" s="409">
        <v>1595.403389672246</v>
      </c>
      <c r="AG152" s="409">
        <v>0</v>
      </c>
      <c r="AH152" s="409">
        <v>0</v>
      </c>
      <c r="AI152" s="409">
        <v>0</v>
      </c>
      <c r="AJ152" s="409">
        <v>0</v>
      </c>
      <c r="AK152" s="409">
        <v>0</v>
      </c>
      <c r="AL152" s="409">
        <v>0</v>
      </c>
      <c r="AM152" s="409"/>
      <c r="AN152" s="409">
        <v>11.254092159130446</v>
      </c>
      <c r="AO152" s="409">
        <v>0</v>
      </c>
      <c r="AP152" s="409">
        <v>0</v>
      </c>
      <c r="AQ152" s="409">
        <v>0</v>
      </c>
      <c r="AR152" s="409">
        <v>0</v>
      </c>
      <c r="AS152" s="409">
        <v>0</v>
      </c>
      <c r="AT152" s="409">
        <v>0</v>
      </c>
      <c r="AU152" s="409">
        <v>0</v>
      </c>
      <c r="AV152" s="409">
        <v>0</v>
      </c>
      <c r="AW152" s="409">
        <v>0</v>
      </c>
      <c r="AX152" s="409">
        <v>0</v>
      </c>
      <c r="AY152" s="409">
        <v>0</v>
      </c>
      <c r="AZ152" s="409">
        <v>0</v>
      </c>
      <c r="BA152" s="409"/>
      <c r="BB152" s="409">
        <v>0</v>
      </c>
      <c r="BC152" s="409">
        <v>0</v>
      </c>
      <c r="BD152" s="409">
        <v>0</v>
      </c>
      <c r="BE152" s="409">
        <v>0</v>
      </c>
      <c r="BF152" s="409">
        <v>0</v>
      </c>
      <c r="BG152" s="409">
        <v>216.44170381156798</v>
      </c>
      <c r="BH152" s="409">
        <v>0</v>
      </c>
      <c r="BI152" s="409">
        <v>45.77</v>
      </c>
      <c r="BJ152" s="409">
        <v>211.95</v>
      </c>
      <c r="BK152" s="409">
        <v>676.7</v>
      </c>
      <c r="BL152" s="409">
        <v>58</v>
      </c>
      <c r="BM152" s="409"/>
      <c r="BN152" s="409"/>
      <c r="BO152" s="409"/>
      <c r="BP152" s="409"/>
      <c r="BQ152" s="409"/>
      <c r="BR152" s="409"/>
      <c r="BS152" s="409"/>
      <c r="BT152" s="409"/>
      <c r="BU152" s="409"/>
      <c r="BV152" s="409">
        <v>1811.845093483814</v>
      </c>
      <c r="BW152" s="409"/>
      <c r="BX152" s="409"/>
      <c r="BY152" s="409"/>
      <c r="BZ152" s="409"/>
      <c r="CA152" s="409"/>
      <c r="CB152" s="409"/>
      <c r="CC152" s="409"/>
      <c r="CD152" s="409"/>
      <c r="CE152" s="409"/>
      <c r="CF152" s="409"/>
      <c r="CG152" s="409"/>
      <c r="CH152" s="409"/>
      <c r="CI152" s="409">
        <v>4765.3151999999991</v>
      </c>
      <c r="CJ152" s="409">
        <v>-513.78405000000203</v>
      </c>
      <c r="CK152" s="409"/>
      <c r="CL152" s="409"/>
      <c r="CM152" s="409"/>
      <c r="CN152" s="409"/>
      <c r="CO152" s="409">
        <v>-572.84145000000024</v>
      </c>
      <c r="CP152" s="409">
        <v>55.455300000000051</v>
      </c>
      <c r="CQ152" s="409">
        <v>31</v>
      </c>
      <c r="CR152" s="409">
        <v>98.73669226869788</v>
      </c>
      <c r="CS152" s="409">
        <v>0</v>
      </c>
      <c r="CT152" s="409">
        <v>0</v>
      </c>
      <c r="CU152" s="409">
        <v>0</v>
      </c>
      <c r="CV152" s="409">
        <v>0</v>
      </c>
      <c r="CW152" s="409">
        <v>0</v>
      </c>
      <c r="CX152" s="409">
        <v>0</v>
      </c>
      <c r="CY152" s="409">
        <v>0</v>
      </c>
      <c r="CZ152" s="409">
        <v>28.799330361674265</v>
      </c>
      <c r="DA152" s="409">
        <v>0</v>
      </c>
      <c r="DB152" s="409">
        <v>0</v>
      </c>
      <c r="DC152" s="409">
        <v>73.08528051369467</v>
      </c>
      <c r="DD152" s="409">
        <v>0</v>
      </c>
      <c r="DE152" s="409">
        <v>0</v>
      </c>
      <c r="DF152" s="409">
        <v>0</v>
      </c>
      <c r="DG152" s="409">
        <v>9.9151742689850835</v>
      </c>
      <c r="DH152" s="409">
        <v>0</v>
      </c>
      <c r="DI152" s="409">
        <v>0</v>
      </c>
      <c r="DJ152" s="409"/>
      <c r="DK152" s="409">
        <v>0</v>
      </c>
      <c r="DL152" s="409">
        <v>0</v>
      </c>
      <c r="DM152" s="409">
        <v>0</v>
      </c>
      <c r="DN152" s="409">
        <v>0</v>
      </c>
      <c r="DO152" s="409">
        <v>0</v>
      </c>
      <c r="DP152" s="409">
        <v>-0.66290368231735997</v>
      </c>
      <c r="DQ152" s="409">
        <v>0</v>
      </c>
      <c r="DR152" s="409">
        <v>-12.400189193338761</v>
      </c>
      <c r="DS152" s="409"/>
      <c r="DT152" s="409"/>
      <c r="DU152" s="409"/>
      <c r="DV152" s="409">
        <v>2687.8025298204948</v>
      </c>
      <c r="DW152" s="409">
        <v>0</v>
      </c>
      <c r="DX152" s="409">
        <v>0</v>
      </c>
      <c r="DY152" s="409">
        <v>-572.84145000000035</v>
      </c>
      <c r="DZ152" s="409">
        <v>55.455300000000079</v>
      </c>
      <c r="EA152" s="409">
        <v>0</v>
      </c>
      <c r="EB152" s="409">
        <v>0</v>
      </c>
      <c r="EC152" s="409">
        <v>-616.10754200719975</v>
      </c>
      <c r="ED152" s="409">
        <v>0</v>
      </c>
      <c r="EE152" s="409">
        <v>0</v>
      </c>
      <c r="EF152" s="409">
        <v>0</v>
      </c>
      <c r="EG152" s="409">
        <v>0</v>
      </c>
      <c r="EH152" s="409">
        <v>0</v>
      </c>
      <c r="EI152" s="409">
        <v>0</v>
      </c>
      <c r="EJ152" s="409">
        <v>0</v>
      </c>
      <c r="EK152" s="409">
        <v>0</v>
      </c>
      <c r="EL152" s="409">
        <v>0</v>
      </c>
      <c r="EM152" s="409">
        <v>0</v>
      </c>
      <c r="EN152" s="409">
        <v>0</v>
      </c>
      <c r="EO152" s="409">
        <v>0</v>
      </c>
      <c r="EP152" s="409">
        <v>0</v>
      </c>
      <c r="EQ152" s="409">
        <v>0</v>
      </c>
      <c r="ER152" s="409">
        <v>0</v>
      </c>
      <c r="ES152" s="409">
        <v>0</v>
      </c>
      <c r="ET152" s="409">
        <v>0</v>
      </c>
      <c r="EU152" s="409">
        <v>0</v>
      </c>
      <c r="EV152" s="409">
        <v>254</v>
      </c>
      <c r="EW152" s="409">
        <v>0</v>
      </c>
      <c r="EX152" s="409">
        <v>0</v>
      </c>
      <c r="EY152" s="409">
        <v>0</v>
      </c>
      <c r="EZ152" s="409"/>
      <c r="FA152" s="409">
        <v>0</v>
      </c>
      <c r="FB152" s="409"/>
      <c r="FC152" s="409"/>
      <c r="FD152" s="409"/>
      <c r="FE152" s="409"/>
      <c r="FF152" s="409">
        <v>0</v>
      </c>
      <c r="FG152" s="409">
        <v>0</v>
      </c>
      <c r="FH152" s="409">
        <v>0</v>
      </c>
      <c r="FI152" s="409">
        <v>0</v>
      </c>
    </row>
    <row r="153" spans="1:165">
      <c r="A153" s="409">
        <v>151</v>
      </c>
      <c r="B153" s="409" t="s">
        <v>1035</v>
      </c>
      <c r="C153" s="409" t="s">
        <v>2244</v>
      </c>
      <c r="D153" s="409" t="s">
        <v>1994</v>
      </c>
      <c r="E153" s="409" t="s">
        <v>969</v>
      </c>
      <c r="F153" s="409" t="s">
        <v>1323</v>
      </c>
      <c r="G153" s="409" t="s">
        <v>1323</v>
      </c>
      <c r="H153" s="409" t="s">
        <v>1323</v>
      </c>
      <c r="I153" s="409" t="s">
        <v>1323</v>
      </c>
      <c r="J153" s="409" t="s">
        <v>2245</v>
      </c>
      <c r="K153" s="835">
        <v>44470</v>
      </c>
      <c r="L153" s="409">
        <v>0</v>
      </c>
      <c r="M153" s="409">
        <v>0</v>
      </c>
      <c r="N153" s="409">
        <v>0.437</v>
      </c>
      <c r="O153" s="409">
        <v>0.437</v>
      </c>
      <c r="P153" s="409">
        <v>0.437</v>
      </c>
      <c r="Q153" s="409">
        <v>0.437</v>
      </c>
      <c r="R153" s="409"/>
      <c r="S153" s="409">
        <v>597.01</v>
      </c>
      <c r="T153" s="409">
        <v>243.39</v>
      </c>
      <c r="U153" s="409"/>
      <c r="V153" s="409">
        <v>367.25479999999999</v>
      </c>
      <c r="W153" s="409">
        <v>367.25479999999999</v>
      </c>
      <c r="X153" s="409">
        <v>332.67935999999997</v>
      </c>
      <c r="Y153" s="409">
        <v>0</v>
      </c>
      <c r="Z153" s="409">
        <v>10.874079652291352</v>
      </c>
      <c r="AA153" s="409">
        <v>0</v>
      </c>
      <c r="AB153" s="409">
        <v>0</v>
      </c>
      <c r="AC153" s="409">
        <v>0</v>
      </c>
      <c r="AD153" s="409">
        <v>51.211621671479975</v>
      </c>
      <c r="AE153" s="409">
        <v>179.18683532136632</v>
      </c>
      <c r="AF153" s="409">
        <v>106.36022597814974</v>
      </c>
      <c r="AG153" s="409">
        <v>0</v>
      </c>
      <c r="AH153" s="409">
        <v>0</v>
      </c>
      <c r="AI153" s="409">
        <v>0</v>
      </c>
      <c r="AJ153" s="409">
        <v>0</v>
      </c>
      <c r="AK153" s="409">
        <v>0</v>
      </c>
      <c r="AL153" s="409">
        <v>4.4395226907054806</v>
      </c>
      <c r="AM153" s="409"/>
      <c r="AN153" s="409">
        <v>0.75027281060869633</v>
      </c>
      <c r="AO153" s="409">
        <v>0</v>
      </c>
      <c r="AP153" s="409">
        <v>0</v>
      </c>
      <c r="AQ153" s="409">
        <v>0</v>
      </c>
      <c r="AR153" s="409">
        <v>0</v>
      </c>
      <c r="AS153" s="409">
        <v>0</v>
      </c>
      <c r="AT153" s="409">
        <v>0</v>
      </c>
      <c r="AU153" s="409">
        <v>0</v>
      </c>
      <c r="AV153" s="409">
        <v>0</v>
      </c>
      <c r="AW153" s="409">
        <v>0</v>
      </c>
      <c r="AX153" s="409">
        <v>0</v>
      </c>
      <c r="AY153" s="409">
        <v>0</v>
      </c>
      <c r="AZ153" s="409">
        <v>0</v>
      </c>
      <c r="BA153" s="409"/>
      <c r="BB153" s="409">
        <v>0</v>
      </c>
      <c r="BC153" s="409">
        <v>0</v>
      </c>
      <c r="BD153" s="409">
        <v>0</v>
      </c>
      <c r="BE153" s="409">
        <v>0</v>
      </c>
      <c r="BF153" s="409">
        <v>0</v>
      </c>
      <c r="BG153" s="409">
        <v>14.4294469207712</v>
      </c>
      <c r="BH153" s="409">
        <v>0</v>
      </c>
      <c r="BI153" s="409">
        <v>0</v>
      </c>
      <c r="BJ153" s="409">
        <v>0</v>
      </c>
      <c r="BK153" s="409">
        <v>0</v>
      </c>
      <c r="BL153" s="409">
        <v>3</v>
      </c>
      <c r="BM153" s="409"/>
      <c r="BN153" s="409"/>
      <c r="BO153" s="409"/>
      <c r="BP153" s="409"/>
      <c r="BQ153" s="409"/>
      <c r="BR153" s="409"/>
      <c r="BS153" s="409"/>
      <c r="BT153" s="409"/>
      <c r="BU153" s="409"/>
      <c r="BV153" s="409">
        <v>120.78967289892094</v>
      </c>
      <c r="BW153" s="409"/>
      <c r="BX153" s="409"/>
      <c r="BY153" s="409"/>
      <c r="BZ153" s="409"/>
      <c r="CA153" s="409"/>
      <c r="CB153" s="409"/>
      <c r="CC153" s="409"/>
      <c r="CD153" s="409"/>
      <c r="CE153" s="409"/>
      <c r="CF153" s="409"/>
      <c r="CG153" s="409"/>
      <c r="CH153" s="409"/>
      <c r="CI153" s="409">
        <v>334.96320000000003</v>
      </c>
      <c r="CJ153" s="409">
        <v>-32.321599999999933</v>
      </c>
      <c r="CK153" s="409"/>
      <c r="CL153" s="409"/>
      <c r="CM153" s="409"/>
      <c r="CN153" s="409"/>
      <c r="CO153" s="409">
        <v>-38.272459999999995</v>
      </c>
      <c r="CP153" s="409">
        <v>3.6970200000000033</v>
      </c>
      <c r="CQ153" s="409">
        <v>31</v>
      </c>
      <c r="CR153" s="409">
        <v>6.4998606557425944</v>
      </c>
      <c r="CS153" s="409">
        <v>0</v>
      </c>
      <c r="CT153" s="409">
        <v>0</v>
      </c>
      <c r="CU153" s="409">
        <v>0</v>
      </c>
      <c r="CV153" s="409">
        <v>0</v>
      </c>
      <c r="CW153" s="409">
        <v>0</v>
      </c>
      <c r="CX153" s="409">
        <v>0</v>
      </c>
      <c r="CY153" s="409">
        <v>0</v>
      </c>
      <c r="CZ153" s="409">
        <v>1.9199553574449553</v>
      </c>
      <c r="DA153" s="409">
        <v>0</v>
      </c>
      <c r="DB153" s="409">
        <v>0</v>
      </c>
      <c r="DC153" s="409">
        <v>4.8723520342463189</v>
      </c>
      <c r="DD153" s="409">
        <v>0</v>
      </c>
      <c r="DE153" s="409">
        <v>0</v>
      </c>
      <c r="DF153" s="409">
        <v>0</v>
      </c>
      <c r="DG153" s="409">
        <v>0.66101161793233842</v>
      </c>
      <c r="DH153" s="409">
        <v>0</v>
      </c>
      <c r="DI153" s="409">
        <v>-7.9303365865005304E-2</v>
      </c>
      <c r="DJ153" s="409"/>
      <c r="DK153" s="409">
        <v>0</v>
      </c>
      <c r="DL153" s="409">
        <v>0</v>
      </c>
      <c r="DM153" s="409">
        <v>0</v>
      </c>
      <c r="DN153" s="409">
        <v>0</v>
      </c>
      <c r="DO153" s="409">
        <v>-2.4901070639019807E-2</v>
      </c>
      <c r="DP153" s="409">
        <v>-4.4193578821157264E-2</v>
      </c>
      <c r="DQ153" s="409">
        <v>0</v>
      </c>
      <c r="DR153" s="409">
        <v>-0.80506033855585124</v>
      </c>
      <c r="DS153" s="409"/>
      <c r="DT153" s="409"/>
      <c r="DU153" s="409"/>
      <c r="DV153" s="409">
        <v>179.18683532136632</v>
      </c>
      <c r="DW153" s="409">
        <v>0</v>
      </c>
      <c r="DX153" s="409">
        <v>0</v>
      </c>
      <c r="DY153" s="409">
        <v>-38.272459999999995</v>
      </c>
      <c r="DZ153" s="409">
        <v>3.6970199999999949</v>
      </c>
      <c r="EA153" s="409">
        <v>0</v>
      </c>
      <c r="EB153" s="409">
        <v>0</v>
      </c>
      <c r="EC153" s="409">
        <v>-41.07383613381333</v>
      </c>
      <c r="ED153" s="409">
        <v>0</v>
      </c>
      <c r="EE153" s="409">
        <v>0</v>
      </c>
      <c r="EF153" s="409">
        <v>0</v>
      </c>
      <c r="EG153" s="409">
        <v>0</v>
      </c>
      <c r="EH153" s="409">
        <v>0</v>
      </c>
      <c r="EI153" s="409">
        <v>0</v>
      </c>
      <c r="EJ153" s="409">
        <v>0</v>
      </c>
      <c r="EK153" s="409">
        <v>0</v>
      </c>
      <c r="EL153" s="409">
        <v>0</v>
      </c>
      <c r="EM153" s="409">
        <v>0</v>
      </c>
      <c r="EN153" s="409">
        <v>0</v>
      </c>
      <c r="EO153" s="409">
        <v>0</v>
      </c>
      <c r="EP153" s="409">
        <v>0</v>
      </c>
      <c r="EQ153" s="409">
        <v>0</v>
      </c>
      <c r="ER153" s="409">
        <v>0</v>
      </c>
      <c r="ES153" s="409">
        <v>0</v>
      </c>
      <c r="ET153" s="409">
        <v>0</v>
      </c>
      <c r="EU153" s="409">
        <v>0</v>
      </c>
      <c r="EV153" s="409">
        <v>254</v>
      </c>
      <c r="EW153" s="409">
        <v>0</v>
      </c>
      <c r="EX153" s="409">
        <v>0</v>
      </c>
      <c r="EY153" s="409">
        <v>0</v>
      </c>
      <c r="EZ153" s="409"/>
      <c r="FA153" s="409">
        <v>0</v>
      </c>
      <c r="FB153" s="409"/>
      <c r="FC153" s="409"/>
      <c r="FD153" s="409"/>
      <c r="FE153" s="409"/>
      <c r="FF153" s="409">
        <v>0</v>
      </c>
      <c r="FG153" s="409">
        <v>0</v>
      </c>
      <c r="FH153" s="409">
        <v>0</v>
      </c>
      <c r="FI153" s="409">
        <v>0</v>
      </c>
    </row>
    <row r="154" spans="1:165">
      <c r="A154" s="409">
        <v>152</v>
      </c>
      <c r="B154" s="409" t="s">
        <v>1035</v>
      </c>
      <c r="C154" s="409" t="s">
        <v>2251</v>
      </c>
      <c r="D154" s="409" t="s">
        <v>596</v>
      </c>
      <c r="E154" s="409" t="s">
        <v>969</v>
      </c>
      <c r="F154" s="409" t="s">
        <v>1323</v>
      </c>
      <c r="G154" s="409" t="s">
        <v>1323</v>
      </c>
      <c r="H154" s="409" t="s">
        <v>1323</v>
      </c>
      <c r="I154" s="409" t="s">
        <v>972</v>
      </c>
      <c r="J154" s="409" t="s">
        <v>2245</v>
      </c>
      <c r="K154" s="835">
        <v>44470</v>
      </c>
      <c r="L154" s="409">
        <v>0</v>
      </c>
      <c r="M154" s="409">
        <v>0</v>
      </c>
      <c r="N154" s="409">
        <v>0.14199999999999999</v>
      </c>
      <c r="O154" s="409">
        <v>0.14199999999999999</v>
      </c>
      <c r="P154" s="409">
        <v>0.14199999999999999</v>
      </c>
      <c r="Q154" s="409">
        <v>0.14199999999999999</v>
      </c>
      <c r="R154" s="409"/>
      <c r="S154" s="409">
        <v>2773.91</v>
      </c>
      <c r="T154" s="409">
        <v>243.39</v>
      </c>
      <c r="U154" s="409"/>
      <c r="V154" s="409">
        <v>428.45659999999992</v>
      </c>
      <c r="W154" s="409">
        <v>428.45659999999992</v>
      </c>
      <c r="X154" s="409">
        <v>368.82653999999997</v>
      </c>
      <c r="Y154" s="409">
        <v>0</v>
      </c>
      <c r="Z154" s="409">
        <v>3.0741048060505096</v>
      </c>
      <c r="AA154" s="409">
        <v>0</v>
      </c>
      <c r="AB154" s="409">
        <v>0</v>
      </c>
      <c r="AC154" s="409">
        <v>0</v>
      </c>
      <c r="AD154" s="409">
        <v>102.31206773580948</v>
      </c>
      <c r="AE154" s="409">
        <v>284.81588227121233</v>
      </c>
      <c r="AF154" s="409">
        <v>34.560988761778631</v>
      </c>
      <c r="AG154" s="409">
        <v>0</v>
      </c>
      <c r="AH154" s="409">
        <v>0</v>
      </c>
      <c r="AI154" s="409">
        <v>0</v>
      </c>
      <c r="AJ154" s="409">
        <v>0</v>
      </c>
      <c r="AK154" s="409">
        <v>0</v>
      </c>
      <c r="AL154" s="409">
        <v>1.4425908972086459</v>
      </c>
      <c r="AM154" s="409"/>
      <c r="AN154" s="409">
        <v>9.8502350023930596E-2</v>
      </c>
      <c r="AO154" s="409">
        <v>0</v>
      </c>
      <c r="AP154" s="409">
        <v>0</v>
      </c>
      <c r="AQ154" s="409">
        <v>0</v>
      </c>
      <c r="AR154" s="409">
        <v>0</v>
      </c>
      <c r="AS154" s="409">
        <v>0</v>
      </c>
      <c r="AT154" s="409">
        <v>0</v>
      </c>
      <c r="AU154" s="409">
        <v>0</v>
      </c>
      <c r="AV154" s="409">
        <v>0</v>
      </c>
      <c r="AW154" s="409">
        <v>0</v>
      </c>
      <c r="AX154" s="409">
        <v>0</v>
      </c>
      <c r="AY154" s="409">
        <v>0</v>
      </c>
      <c r="AZ154" s="409">
        <v>0</v>
      </c>
      <c r="BA154" s="409"/>
      <c r="BB154" s="409">
        <v>0</v>
      </c>
      <c r="BC154" s="409">
        <v>0</v>
      </c>
      <c r="BD154" s="409">
        <v>0</v>
      </c>
      <c r="BE154" s="409">
        <v>0</v>
      </c>
      <c r="BF154" s="409">
        <v>0</v>
      </c>
      <c r="BG154" s="409">
        <v>2.1525963082212836</v>
      </c>
      <c r="BH154" s="409">
        <v>0</v>
      </c>
      <c r="BI154" s="409">
        <v>0</v>
      </c>
      <c r="BJ154" s="409">
        <v>0</v>
      </c>
      <c r="BK154" s="409">
        <v>0</v>
      </c>
      <c r="BL154" s="409">
        <v>0</v>
      </c>
      <c r="BM154" s="409"/>
      <c r="BN154" s="409"/>
      <c r="BO154" s="409"/>
      <c r="BP154" s="409"/>
      <c r="BQ154" s="409"/>
      <c r="BR154" s="409"/>
      <c r="BS154" s="409"/>
      <c r="BT154" s="409"/>
      <c r="BU154" s="409"/>
      <c r="BV154" s="409">
        <v>36.713585069999915</v>
      </c>
      <c r="BW154" s="409"/>
      <c r="BX154" s="409"/>
      <c r="BY154" s="409"/>
      <c r="BZ154" s="409"/>
      <c r="CA154" s="409"/>
      <c r="CB154" s="409"/>
      <c r="CC154" s="409"/>
      <c r="CD154" s="409"/>
      <c r="CE154" s="409"/>
      <c r="CF154" s="409"/>
      <c r="CG154" s="409"/>
      <c r="CH154" s="409"/>
      <c r="CI154" s="409">
        <v>363.63180000000006</v>
      </c>
      <c r="CJ154" s="409">
        <v>-64.854799999999841</v>
      </c>
      <c r="CK154" s="409"/>
      <c r="CL154" s="409"/>
      <c r="CM154" s="409"/>
      <c r="CN154" s="409"/>
      <c r="CO154" s="409">
        <v>-60.831379999999974</v>
      </c>
      <c r="CP154" s="409">
        <v>1.2013200000000011</v>
      </c>
      <c r="CQ154" s="409">
        <v>31</v>
      </c>
      <c r="CR154" s="409">
        <v>5.6560780049245807</v>
      </c>
      <c r="CS154" s="409">
        <v>0</v>
      </c>
      <c r="CT154" s="409">
        <v>0</v>
      </c>
      <c r="CU154" s="409">
        <v>0</v>
      </c>
      <c r="CV154" s="409">
        <v>0</v>
      </c>
      <c r="CW154" s="409">
        <v>0</v>
      </c>
      <c r="CX154" s="409">
        <v>0</v>
      </c>
      <c r="CY154" s="409">
        <v>0</v>
      </c>
      <c r="CZ154" s="409">
        <v>3.8357426726445141</v>
      </c>
      <c r="DA154" s="409">
        <v>0</v>
      </c>
      <c r="DB154" s="409">
        <v>0</v>
      </c>
      <c r="DC154" s="409">
        <v>1.5832356724553236</v>
      </c>
      <c r="DD154" s="409">
        <v>0</v>
      </c>
      <c r="DE154" s="409">
        <v>0</v>
      </c>
      <c r="DF154" s="409">
        <v>0</v>
      </c>
      <c r="DG154" s="409">
        <v>9.8610236155654452E-2</v>
      </c>
      <c r="DH154" s="409">
        <v>0</v>
      </c>
      <c r="DI154" s="409">
        <v>-2.2419079677259202E-2</v>
      </c>
      <c r="DJ154" s="409"/>
      <c r="DK154" s="409">
        <v>0</v>
      </c>
      <c r="DL154" s="409">
        <v>0</v>
      </c>
      <c r="DM154" s="409">
        <v>0</v>
      </c>
      <c r="DN154" s="409">
        <v>0</v>
      </c>
      <c r="DO154" s="409">
        <v>-8.0914234113065309E-3</v>
      </c>
      <c r="DP154" s="409">
        <v>-5.8021179873493506E-3</v>
      </c>
      <c r="DQ154" s="409">
        <v>0</v>
      </c>
      <c r="DR154" s="409">
        <v>0.17480204474501371</v>
      </c>
      <c r="DS154" s="409"/>
      <c r="DT154" s="409"/>
      <c r="DU154" s="409"/>
      <c r="DV154" s="409">
        <v>284.81588227121233</v>
      </c>
      <c r="DW154" s="409">
        <v>0</v>
      </c>
      <c r="DX154" s="409">
        <v>0</v>
      </c>
      <c r="DY154" s="409">
        <v>-60.831379999999967</v>
      </c>
      <c r="DZ154" s="409">
        <v>1.2013200000000026</v>
      </c>
      <c r="EA154" s="409">
        <v>0</v>
      </c>
      <c r="EB154" s="409">
        <v>0</v>
      </c>
      <c r="EC154" s="409">
        <v>-65.286497502644266</v>
      </c>
      <c r="ED154" s="409">
        <v>0</v>
      </c>
      <c r="EE154" s="409">
        <v>0</v>
      </c>
      <c r="EF154" s="409">
        <v>0</v>
      </c>
      <c r="EG154" s="409">
        <v>0</v>
      </c>
      <c r="EH154" s="409">
        <v>0</v>
      </c>
      <c r="EI154" s="409">
        <v>0</v>
      </c>
      <c r="EJ154" s="409">
        <v>0</v>
      </c>
      <c r="EK154" s="409">
        <v>0</v>
      </c>
      <c r="EL154" s="409">
        <v>0</v>
      </c>
      <c r="EM154" s="409">
        <v>0</v>
      </c>
      <c r="EN154" s="409">
        <v>0</v>
      </c>
      <c r="EO154" s="409">
        <v>0</v>
      </c>
      <c r="EP154" s="409">
        <v>0</v>
      </c>
      <c r="EQ154" s="409">
        <v>0</v>
      </c>
      <c r="ER154" s="409">
        <v>0</v>
      </c>
      <c r="ES154" s="409">
        <v>0</v>
      </c>
      <c r="ET154" s="409">
        <v>0</v>
      </c>
      <c r="EU154" s="409">
        <v>0</v>
      </c>
      <c r="EV154" s="409">
        <v>254</v>
      </c>
      <c r="EW154" s="409">
        <v>0</v>
      </c>
      <c r="EX154" s="409">
        <v>0</v>
      </c>
      <c r="EY154" s="409">
        <v>0</v>
      </c>
      <c r="EZ154" s="409"/>
      <c r="FA154" s="409">
        <v>0</v>
      </c>
      <c r="FB154" s="409"/>
      <c r="FC154" s="409"/>
      <c r="FD154" s="409"/>
      <c r="FE154" s="409"/>
      <c r="FF154" s="409">
        <v>0</v>
      </c>
      <c r="FG154" s="409">
        <v>0</v>
      </c>
      <c r="FH154" s="409">
        <v>0</v>
      </c>
      <c r="FI154" s="409">
        <v>0</v>
      </c>
    </row>
    <row r="155" spans="1:165">
      <c r="A155" s="409">
        <v>153</v>
      </c>
      <c r="B155" s="409" t="s">
        <v>1035</v>
      </c>
      <c r="C155" s="409" t="s">
        <v>2251</v>
      </c>
      <c r="D155" s="409" t="s">
        <v>596</v>
      </c>
      <c r="E155" s="409" t="s">
        <v>969</v>
      </c>
      <c r="F155" s="409" t="s">
        <v>1323</v>
      </c>
      <c r="G155" s="409" t="s">
        <v>1323</v>
      </c>
      <c r="H155" s="409" t="s">
        <v>1323</v>
      </c>
      <c r="I155" s="409" t="s">
        <v>2237</v>
      </c>
      <c r="J155" s="409" t="s">
        <v>2245</v>
      </c>
      <c r="K155" s="835">
        <v>44470</v>
      </c>
      <c r="L155" s="409">
        <v>0</v>
      </c>
      <c r="M155" s="409">
        <v>0</v>
      </c>
      <c r="N155" s="409">
        <v>27.844000000000001</v>
      </c>
      <c r="O155" s="409">
        <v>27.844000000000001</v>
      </c>
      <c r="P155" s="409">
        <v>27.844000000000001</v>
      </c>
      <c r="Q155" s="409">
        <v>27.844000000000001</v>
      </c>
      <c r="R155" s="409"/>
      <c r="S155" s="409">
        <v>47.66</v>
      </c>
      <c r="T155" s="409">
        <v>243.39</v>
      </c>
      <c r="U155" s="409"/>
      <c r="V155" s="409">
        <v>8103.9961999999996</v>
      </c>
      <c r="W155" s="409">
        <v>8103.9961999999996</v>
      </c>
      <c r="X155" s="409">
        <v>8353.7568800000008</v>
      </c>
      <c r="Y155" s="409">
        <v>0</v>
      </c>
      <c r="Z155" s="409">
        <v>602.78432549063666</v>
      </c>
      <c r="AA155" s="409">
        <v>0</v>
      </c>
      <c r="AB155" s="409">
        <v>0</v>
      </c>
      <c r="AC155" s="409">
        <v>0</v>
      </c>
      <c r="AD155" s="409">
        <v>0</v>
      </c>
      <c r="AE155" s="409">
        <v>0</v>
      </c>
      <c r="AF155" s="409">
        <v>6776.8744442462275</v>
      </c>
      <c r="AG155" s="409">
        <v>0</v>
      </c>
      <c r="AH155" s="409">
        <v>0</v>
      </c>
      <c r="AI155" s="409">
        <v>0</v>
      </c>
      <c r="AJ155" s="409">
        <v>0</v>
      </c>
      <c r="AK155" s="409">
        <v>0</v>
      </c>
      <c r="AL155" s="409">
        <v>282.86972494279956</v>
      </c>
      <c r="AM155" s="409"/>
      <c r="AN155" s="409">
        <v>19.314784746945943</v>
      </c>
      <c r="AO155" s="409">
        <v>0</v>
      </c>
      <c r="AP155" s="409">
        <v>0</v>
      </c>
      <c r="AQ155" s="409">
        <v>0</v>
      </c>
      <c r="AR155" s="409">
        <v>0</v>
      </c>
      <c r="AS155" s="409">
        <v>0</v>
      </c>
      <c r="AT155" s="409">
        <v>0</v>
      </c>
      <c r="AU155" s="409">
        <v>0</v>
      </c>
      <c r="AV155" s="409">
        <v>0</v>
      </c>
      <c r="AW155" s="409">
        <v>0</v>
      </c>
      <c r="AX155" s="409">
        <v>0</v>
      </c>
      <c r="AY155" s="409">
        <v>0</v>
      </c>
      <c r="AZ155" s="409">
        <v>0</v>
      </c>
      <c r="BA155" s="409"/>
      <c r="BB155" s="409">
        <v>0</v>
      </c>
      <c r="BC155" s="409">
        <v>0</v>
      </c>
      <c r="BD155" s="409">
        <v>0</v>
      </c>
      <c r="BE155" s="409">
        <v>0</v>
      </c>
      <c r="BF155" s="409">
        <v>0</v>
      </c>
      <c r="BG155" s="409">
        <v>422.09078595854527</v>
      </c>
      <c r="BH155" s="409">
        <v>0</v>
      </c>
      <c r="BI155" s="409">
        <v>0</v>
      </c>
      <c r="BJ155" s="409">
        <v>0</v>
      </c>
      <c r="BK155" s="409">
        <v>0</v>
      </c>
      <c r="BL155" s="409">
        <v>0</v>
      </c>
      <c r="BM155" s="409"/>
      <c r="BN155" s="409"/>
      <c r="BO155" s="409"/>
      <c r="BP155" s="409"/>
      <c r="BQ155" s="409"/>
      <c r="BR155" s="409"/>
      <c r="BS155" s="409"/>
      <c r="BT155" s="409"/>
      <c r="BU155" s="409"/>
      <c r="BV155" s="409">
        <v>7198.9652302047725</v>
      </c>
      <c r="BW155" s="409"/>
      <c r="BX155" s="409"/>
      <c r="BY155" s="409"/>
      <c r="BZ155" s="409"/>
      <c r="CA155" s="409"/>
      <c r="CB155" s="409"/>
      <c r="CC155" s="409"/>
      <c r="CD155" s="409"/>
      <c r="CE155" s="409"/>
      <c r="CF155" s="409"/>
      <c r="CG155" s="409"/>
      <c r="CH155" s="409"/>
      <c r="CI155" s="409">
        <v>8352.5568000000003</v>
      </c>
      <c r="CJ155" s="409">
        <v>248.53060000000005</v>
      </c>
      <c r="CK155" s="409"/>
      <c r="CL155" s="409"/>
      <c r="CM155" s="409"/>
      <c r="CN155" s="409"/>
      <c r="CO155" s="409">
        <v>14.200440000000143</v>
      </c>
      <c r="CP155" s="409">
        <v>235.56024000000022</v>
      </c>
      <c r="CQ155" s="409">
        <v>31</v>
      </c>
      <c r="CR155" s="409">
        <v>249.77408961931997</v>
      </c>
      <c r="CS155" s="409">
        <v>0</v>
      </c>
      <c r="CT155" s="409">
        <v>0</v>
      </c>
      <c r="CU155" s="409">
        <v>0</v>
      </c>
      <c r="CV155" s="409">
        <v>0</v>
      </c>
      <c r="CW155" s="409">
        <v>0</v>
      </c>
      <c r="CX155" s="409">
        <v>0</v>
      </c>
      <c r="CY155" s="409">
        <v>0</v>
      </c>
      <c r="CZ155" s="409">
        <v>0</v>
      </c>
      <c r="DA155" s="409">
        <v>0</v>
      </c>
      <c r="DB155" s="409">
        <v>0</v>
      </c>
      <c r="DC155" s="409">
        <v>310.44798636511314</v>
      </c>
      <c r="DD155" s="409">
        <v>0</v>
      </c>
      <c r="DE155" s="409">
        <v>0</v>
      </c>
      <c r="DF155" s="409">
        <v>0</v>
      </c>
      <c r="DG155" s="409">
        <v>19.335939545901681</v>
      </c>
      <c r="DH155" s="409">
        <v>0</v>
      </c>
      <c r="DI155" s="409">
        <v>-4.3960341868563546</v>
      </c>
      <c r="DJ155" s="409"/>
      <c r="DK155" s="409">
        <v>0</v>
      </c>
      <c r="DL155" s="409">
        <v>0</v>
      </c>
      <c r="DM155" s="409">
        <v>0</v>
      </c>
      <c r="DN155" s="409">
        <v>0</v>
      </c>
      <c r="DO155" s="409">
        <v>-1.5866027708761408</v>
      </c>
      <c r="DP155" s="409">
        <v>-1.1377054453503916</v>
      </c>
      <c r="DQ155" s="409">
        <v>0</v>
      </c>
      <c r="DR155" s="409">
        <v>-72.889493888612037</v>
      </c>
      <c r="DS155" s="409"/>
      <c r="DT155" s="409"/>
      <c r="DU155" s="409"/>
      <c r="DV155" s="409">
        <v>0</v>
      </c>
      <c r="DW155" s="409">
        <v>0</v>
      </c>
      <c r="DX155" s="409">
        <v>0</v>
      </c>
      <c r="DY155" s="409">
        <v>14.200440000000071</v>
      </c>
      <c r="DZ155" s="409">
        <v>235.5602400000007</v>
      </c>
      <c r="EA155" s="409">
        <v>0</v>
      </c>
      <c r="EB155" s="409">
        <v>0</v>
      </c>
      <c r="EC155" s="409">
        <v>0</v>
      </c>
      <c r="ED155" s="409">
        <v>0</v>
      </c>
      <c r="EE155" s="409">
        <v>0</v>
      </c>
      <c r="EF155" s="409">
        <v>0</v>
      </c>
      <c r="EG155" s="409">
        <v>0</v>
      </c>
      <c r="EH155" s="409">
        <v>0</v>
      </c>
      <c r="EI155" s="409">
        <v>0</v>
      </c>
      <c r="EJ155" s="409">
        <v>0</v>
      </c>
      <c r="EK155" s="409">
        <v>0</v>
      </c>
      <c r="EL155" s="409">
        <v>0</v>
      </c>
      <c r="EM155" s="409">
        <v>0</v>
      </c>
      <c r="EN155" s="409">
        <v>0</v>
      </c>
      <c r="EO155" s="409">
        <v>0</v>
      </c>
      <c r="EP155" s="409">
        <v>0</v>
      </c>
      <c r="EQ155" s="409">
        <v>0</v>
      </c>
      <c r="ER155" s="409">
        <v>0</v>
      </c>
      <c r="ES155" s="409">
        <v>0</v>
      </c>
      <c r="ET155" s="409">
        <v>0</v>
      </c>
      <c r="EU155" s="409">
        <v>0</v>
      </c>
      <c r="EV155" s="409">
        <v>254</v>
      </c>
      <c r="EW155" s="409">
        <v>0</v>
      </c>
      <c r="EX155" s="409">
        <v>0</v>
      </c>
      <c r="EY155" s="409">
        <v>0</v>
      </c>
      <c r="EZ155" s="409"/>
      <c r="FA155" s="409">
        <v>0</v>
      </c>
      <c r="FB155" s="409"/>
      <c r="FC155" s="409"/>
      <c r="FD155" s="409"/>
      <c r="FE155" s="409"/>
      <c r="FF155" s="409">
        <v>0</v>
      </c>
      <c r="FG155" s="409">
        <v>0</v>
      </c>
      <c r="FH155" s="409">
        <v>0</v>
      </c>
      <c r="FI155" s="409">
        <v>0</v>
      </c>
    </row>
    <row r="156" spans="1:165">
      <c r="A156" s="409">
        <v>154</v>
      </c>
      <c r="B156" s="409" t="s">
        <v>1035</v>
      </c>
      <c r="C156" s="409" t="s">
        <v>2251</v>
      </c>
      <c r="D156" s="409" t="s">
        <v>596</v>
      </c>
      <c r="E156" s="409" t="s">
        <v>969</v>
      </c>
      <c r="F156" s="409" t="s">
        <v>1323</v>
      </c>
      <c r="G156" s="409" t="s">
        <v>1323</v>
      </c>
      <c r="H156" s="409" t="s">
        <v>1323</v>
      </c>
      <c r="I156" s="409" t="s">
        <v>1323</v>
      </c>
      <c r="J156" s="409" t="s">
        <v>2245</v>
      </c>
      <c r="K156" s="835">
        <v>44470</v>
      </c>
      <c r="L156" s="409">
        <v>123</v>
      </c>
      <c r="M156" s="409">
        <v>123</v>
      </c>
      <c r="N156" s="409">
        <v>0</v>
      </c>
      <c r="O156" s="409">
        <v>0</v>
      </c>
      <c r="P156" s="409">
        <v>0</v>
      </c>
      <c r="Q156" s="409">
        <v>0</v>
      </c>
      <c r="R156" s="409">
        <v>50.27</v>
      </c>
      <c r="S156" s="409"/>
      <c r="T156" s="409"/>
      <c r="U156" s="409">
        <v>6183.21</v>
      </c>
      <c r="V156" s="409"/>
      <c r="W156" s="409">
        <v>6183.21</v>
      </c>
      <c r="X156" s="409">
        <v>5559.6</v>
      </c>
      <c r="Y156" s="409">
        <v>0</v>
      </c>
      <c r="Z156" s="409">
        <v>0</v>
      </c>
      <c r="AA156" s="409">
        <v>0</v>
      </c>
      <c r="AB156" s="409">
        <v>0</v>
      </c>
      <c r="AC156" s="409">
        <v>0</v>
      </c>
      <c r="AD156" s="409">
        <v>2947.0717806800048</v>
      </c>
      <c r="AE156" s="409">
        <v>3235.5780626194287</v>
      </c>
      <c r="AF156" s="409"/>
      <c r="AG156" s="409"/>
      <c r="AH156" s="409"/>
      <c r="AI156" s="409">
        <v>0</v>
      </c>
      <c r="AJ156" s="409">
        <v>0</v>
      </c>
      <c r="AK156" s="409">
        <v>0</v>
      </c>
      <c r="AL156" s="409">
        <v>0</v>
      </c>
      <c r="AM156" s="409"/>
      <c r="AN156" s="409">
        <v>0</v>
      </c>
      <c r="AO156" s="409">
        <v>0</v>
      </c>
      <c r="AP156" s="409">
        <v>0</v>
      </c>
      <c r="AQ156" s="409">
        <v>0</v>
      </c>
      <c r="AR156" s="409">
        <v>0</v>
      </c>
      <c r="AS156" s="409"/>
      <c r="AT156" s="409"/>
      <c r="AU156" s="409">
        <v>0</v>
      </c>
      <c r="AV156" s="409">
        <v>0</v>
      </c>
      <c r="AW156" s="409">
        <v>0</v>
      </c>
      <c r="AX156" s="409"/>
      <c r="AY156" s="409"/>
      <c r="AZ156" s="409">
        <v>0</v>
      </c>
      <c r="BA156" s="409"/>
      <c r="BB156" s="409">
        <v>0</v>
      </c>
      <c r="BC156" s="409">
        <v>0</v>
      </c>
      <c r="BD156" s="409">
        <v>0</v>
      </c>
      <c r="BE156" s="409">
        <v>0</v>
      </c>
      <c r="BF156" s="409"/>
      <c r="BG156" s="409">
        <v>0</v>
      </c>
      <c r="BH156" s="409">
        <v>0</v>
      </c>
      <c r="BI156" s="409">
        <v>0</v>
      </c>
      <c r="BJ156" s="409">
        <v>0</v>
      </c>
      <c r="BK156" s="409">
        <v>0</v>
      </c>
      <c r="BL156" s="409">
        <v>1</v>
      </c>
      <c r="BM156" s="409"/>
      <c r="BN156" s="409"/>
      <c r="BO156" s="409"/>
      <c r="BP156" s="409"/>
      <c r="BQ156" s="409"/>
      <c r="BR156" s="409"/>
      <c r="BS156" s="409"/>
      <c r="BT156" s="409"/>
      <c r="BU156" s="409"/>
      <c r="BV156" s="409">
        <v>0</v>
      </c>
      <c r="BW156" s="409"/>
      <c r="BX156" s="409"/>
      <c r="BY156" s="409"/>
      <c r="BZ156" s="409"/>
      <c r="CA156" s="409"/>
      <c r="CB156" s="409"/>
      <c r="CC156" s="409"/>
      <c r="CD156" s="409"/>
      <c r="CE156" s="409"/>
      <c r="CF156" s="409"/>
      <c r="CG156" s="409"/>
      <c r="CH156" s="409"/>
      <c r="CI156" s="409">
        <v>5559.6</v>
      </c>
      <c r="CJ156" s="409">
        <v>-623.64000000000033</v>
      </c>
      <c r="CK156" s="409"/>
      <c r="CL156" s="409"/>
      <c r="CM156" s="409"/>
      <c r="CN156" s="409"/>
      <c r="CO156" s="409">
        <v>-623.61</v>
      </c>
      <c r="CP156" s="409">
        <v>0</v>
      </c>
      <c r="CQ156" s="409">
        <v>31</v>
      </c>
      <c r="CR156" s="409">
        <v>119.21588398465065</v>
      </c>
      <c r="CS156" s="409">
        <v>0</v>
      </c>
      <c r="CT156" s="409">
        <v>0</v>
      </c>
      <c r="CU156" s="409">
        <v>0</v>
      </c>
      <c r="CV156" s="409">
        <v>0</v>
      </c>
      <c r="CW156" s="409"/>
      <c r="CX156" s="409"/>
      <c r="CY156" s="409"/>
      <c r="CZ156" s="409">
        <v>110.48754305006423</v>
      </c>
      <c r="DA156" s="409">
        <v>0</v>
      </c>
      <c r="DB156" s="409">
        <v>0</v>
      </c>
      <c r="DC156" s="409"/>
      <c r="DD156" s="409"/>
      <c r="DE156" s="409">
        <v>0</v>
      </c>
      <c r="DF156" s="409">
        <v>0</v>
      </c>
      <c r="DG156" s="409">
        <v>0</v>
      </c>
      <c r="DH156" s="409">
        <v>0</v>
      </c>
      <c r="DI156" s="409">
        <v>0</v>
      </c>
      <c r="DJ156" s="409"/>
      <c r="DK156" s="409">
        <v>0</v>
      </c>
      <c r="DL156" s="409">
        <v>0</v>
      </c>
      <c r="DM156" s="409"/>
      <c r="DN156" s="409">
        <v>0</v>
      </c>
      <c r="DO156" s="409">
        <v>0</v>
      </c>
      <c r="DP156" s="409">
        <v>0</v>
      </c>
      <c r="DQ156" s="409">
        <v>0</v>
      </c>
      <c r="DR156" s="409">
        <v>8.7283409345864964</v>
      </c>
      <c r="DS156" s="409"/>
      <c r="DT156" s="409"/>
      <c r="DU156" s="409">
        <v>3235.5780626194287</v>
      </c>
      <c r="DV156" s="409"/>
      <c r="DW156" s="409">
        <v>0</v>
      </c>
      <c r="DX156" s="409">
        <v>0</v>
      </c>
      <c r="DY156" s="409">
        <v>-623.60999999999967</v>
      </c>
      <c r="DZ156" s="409"/>
      <c r="EA156" s="409">
        <v>0</v>
      </c>
      <c r="EB156" s="409"/>
      <c r="EC156" s="409">
        <v>-741.67057475981392</v>
      </c>
      <c r="ED156" s="409"/>
      <c r="EE156" s="409">
        <v>0</v>
      </c>
      <c r="EF156" s="409">
        <v>0</v>
      </c>
      <c r="EG156" s="409"/>
      <c r="EH156" s="409">
        <v>0</v>
      </c>
      <c r="EI156" s="409">
        <v>0</v>
      </c>
      <c r="EJ156" s="409">
        <v>0</v>
      </c>
      <c r="EK156" s="409">
        <v>0</v>
      </c>
      <c r="EL156" s="409">
        <v>0</v>
      </c>
      <c r="EM156" s="409"/>
      <c r="EN156" s="409"/>
      <c r="EO156" s="409">
        <v>0</v>
      </c>
      <c r="EP156" s="409">
        <v>0</v>
      </c>
      <c r="EQ156" s="409"/>
      <c r="ER156" s="409">
        <v>0</v>
      </c>
      <c r="ES156" s="409"/>
      <c r="ET156" s="409">
        <v>0</v>
      </c>
      <c r="EU156" s="409"/>
      <c r="EV156" s="409">
        <v>254</v>
      </c>
      <c r="EW156" s="409"/>
      <c r="EX156" s="409"/>
      <c r="EY156" s="409"/>
      <c r="EZ156" s="409"/>
      <c r="FA156" s="409">
        <v>0</v>
      </c>
      <c r="FB156" s="409"/>
      <c r="FC156" s="409"/>
      <c r="FD156" s="409"/>
      <c r="FE156" s="409"/>
      <c r="FF156" s="409">
        <v>0</v>
      </c>
      <c r="FG156" s="409">
        <v>0</v>
      </c>
      <c r="FH156" s="409">
        <v>0</v>
      </c>
      <c r="FI156" s="409">
        <v>0</v>
      </c>
    </row>
    <row r="157" spans="1:165">
      <c r="A157" s="409">
        <v>155</v>
      </c>
      <c r="B157" s="409" t="s">
        <v>1035</v>
      </c>
      <c r="C157" s="409" t="s">
        <v>2244</v>
      </c>
      <c r="D157" s="409" t="s">
        <v>1994</v>
      </c>
      <c r="E157" s="409" t="s">
        <v>997</v>
      </c>
      <c r="F157" s="409" t="s">
        <v>1323</v>
      </c>
      <c r="G157" s="409" t="s">
        <v>1323</v>
      </c>
      <c r="H157" s="409" t="s">
        <v>1323</v>
      </c>
      <c r="I157" s="409" t="s">
        <v>1323</v>
      </c>
      <c r="J157" s="409" t="s">
        <v>2245</v>
      </c>
      <c r="K157" s="835">
        <v>44470</v>
      </c>
      <c r="L157" s="409">
        <v>0</v>
      </c>
      <c r="M157" s="409">
        <v>0</v>
      </c>
      <c r="N157" s="409">
        <v>61.203000000000003</v>
      </c>
      <c r="O157" s="409">
        <v>61.203000000000003</v>
      </c>
      <c r="P157" s="409">
        <v>61.203000000000003</v>
      </c>
      <c r="Q157" s="409">
        <v>61.203000000000003</v>
      </c>
      <c r="R157" s="409"/>
      <c r="S157" s="409">
        <v>597.01</v>
      </c>
      <c r="T157" s="409">
        <v>243.39</v>
      </c>
      <c r="U157" s="409"/>
      <c r="V157" s="409">
        <v>51435.001199999999</v>
      </c>
      <c r="W157" s="409">
        <v>51435.001199999999</v>
      </c>
      <c r="X157" s="409">
        <v>46592.619839999999</v>
      </c>
      <c r="Y157" s="409">
        <v>0</v>
      </c>
      <c r="Z157" s="409">
        <v>1522.9434713024889</v>
      </c>
      <c r="AA157" s="409">
        <v>0</v>
      </c>
      <c r="AB157" s="409">
        <v>0</v>
      </c>
      <c r="AC157" s="409">
        <v>0</v>
      </c>
      <c r="AD157" s="409">
        <v>7172.3223825162222</v>
      </c>
      <c r="AE157" s="409">
        <v>25095.587831060831</v>
      </c>
      <c r="AF157" s="409">
        <v>14896.029543571394</v>
      </c>
      <c r="AG157" s="409">
        <v>0</v>
      </c>
      <c r="AH157" s="409">
        <v>0</v>
      </c>
      <c r="AI157" s="409">
        <v>0</v>
      </c>
      <c r="AJ157" s="409">
        <v>0</v>
      </c>
      <c r="AK157" s="409">
        <v>0</v>
      </c>
      <c r="AL157" s="409">
        <v>621.7668357877518</v>
      </c>
      <c r="AM157" s="409"/>
      <c r="AN157" s="409">
        <v>105.07768152788111</v>
      </c>
      <c r="AO157" s="409">
        <v>0</v>
      </c>
      <c r="AP157" s="409">
        <v>0</v>
      </c>
      <c r="AQ157" s="409">
        <v>0</v>
      </c>
      <c r="AR157" s="409">
        <v>0</v>
      </c>
      <c r="AS157" s="409">
        <v>0</v>
      </c>
      <c r="AT157" s="409">
        <v>0</v>
      </c>
      <c r="AU157" s="409">
        <v>0</v>
      </c>
      <c r="AV157" s="409">
        <v>0</v>
      </c>
      <c r="AW157" s="409">
        <v>0</v>
      </c>
      <c r="AX157" s="409">
        <v>0</v>
      </c>
      <c r="AY157" s="409">
        <v>0</v>
      </c>
      <c r="AZ157" s="409">
        <v>0</v>
      </c>
      <c r="BA157" s="409"/>
      <c r="BB157" s="409">
        <v>0</v>
      </c>
      <c r="BC157" s="409">
        <v>0</v>
      </c>
      <c r="BD157" s="409">
        <v>0</v>
      </c>
      <c r="BE157" s="409">
        <v>0</v>
      </c>
      <c r="BF157" s="409">
        <v>0</v>
      </c>
      <c r="BG157" s="409">
        <v>2020.8820134827454</v>
      </c>
      <c r="BH157" s="409">
        <v>0</v>
      </c>
      <c r="BI157" s="409">
        <v>79.989999999999995</v>
      </c>
      <c r="BJ157" s="409">
        <v>369.34</v>
      </c>
      <c r="BK157" s="409">
        <v>4528.12</v>
      </c>
      <c r="BL157" s="409">
        <v>209</v>
      </c>
      <c r="BM157" s="409"/>
      <c r="BN157" s="409"/>
      <c r="BO157" s="409"/>
      <c r="BP157" s="409"/>
      <c r="BQ157" s="409"/>
      <c r="BR157" s="409"/>
      <c r="BS157" s="409"/>
      <c r="BT157" s="409"/>
      <c r="BU157" s="409"/>
      <c r="BV157" s="409">
        <v>16916.91155705414</v>
      </c>
      <c r="BW157" s="409"/>
      <c r="BX157" s="409"/>
      <c r="BY157" s="409"/>
      <c r="BZ157" s="409"/>
      <c r="CA157" s="409"/>
      <c r="CB157" s="409"/>
      <c r="CC157" s="409"/>
      <c r="CD157" s="409"/>
      <c r="CE157" s="409"/>
      <c r="CF157" s="409"/>
      <c r="CG157" s="409"/>
      <c r="CH157" s="409"/>
      <c r="CI157" s="409">
        <v>46590.336000000003</v>
      </c>
      <c r="CJ157" s="409">
        <v>-4844.6952000000019</v>
      </c>
      <c r="CK157" s="409"/>
      <c r="CL157" s="409"/>
      <c r="CM157" s="409"/>
      <c r="CN157" s="409"/>
      <c r="CO157" s="409">
        <v>-5360.1587399999989</v>
      </c>
      <c r="CP157" s="409">
        <v>517.77738000000056</v>
      </c>
      <c r="CQ157" s="409">
        <v>31</v>
      </c>
      <c r="CR157" s="409">
        <v>910.32258973321223</v>
      </c>
      <c r="CS157" s="409">
        <v>0</v>
      </c>
      <c r="CT157" s="409">
        <v>0</v>
      </c>
      <c r="CU157" s="409">
        <v>0</v>
      </c>
      <c r="CV157" s="409">
        <v>0</v>
      </c>
      <c r="CW157" s="409">
        <v>0</v>
      </c>
      <c r="CX157" s="409">
        <v>0</v>
      </c>
      <c r="CY157" s="409">
        <v>0</v>
      </c>
      <c r="CZ157" s="409">
        <v>268.89480032426491</v>
      </c>
      <c r="DA157" s="409">
        <v>0</v>
      </c>
      <c r="DB157" s="409">
        <v>0</v>
      </c>
      <c r="DC157" s="409">
        <v>682.38572437523362</v>
      </c>
      <c r="DD157" s="409">
        <v>0</v>
      </c>
      <c r="DE157" s="409">
        <v>0</v>
      </c>
      <c r="DF157" s="409">
        <v>0</v>
      </c>
      <c r="DG157" s="409">
        <v>92.576416595681849</v>
      </c>
      <c r="DH157" s="409">
        <v>0</v>
      </c>
      <c r="DI157" s="409">
        <v>-11.106645082462137</v>
      </c>
      <c r="DJ157" s="409"/>
      <c r="DK157" s="409">
        <v>0</v>
      </c>
      <c r="DL157" s="409">
        <v>0</v>
      </c>
      <c r="DM157" s="409">
        <v>0</v>
      </c>
      <c r="DN157" s="409">
        <v>0</v>
      </c>
      <c r="DO157" s="409">
        <v>-3.4874604721280775</v>
      </c>
      <c r="DP157" s="409">
        <v>-6.1894270127947095</v>
      </c>
      <c r="DQ157" s="409">
        <v>0</v>
      </c>
      <c r="DR157" s="409">
        <v>-112.75081899458527</v>
      </c>
      <c r="DS157" s="409"/>
      <c r="DT157" s="409"/>
      <c r="DU157" s="409"/>
      <c r="DV157" s="409">
        <v>25095.587831060831</v>
      </c>
      <c r="DW157" s="409">
        <v>0</v>
      </c>
      <c r="DX157" s="409">
        <v>0</v>
      </c>
      <c r="DY157" s="409">
        <v>-5360.1587400000026</v>
      </c>
      <c r="DZ157" s="409">
        <v>517.77738000000136</v>
      </c>
      <c r="EA157" s="409">
        <v>0</v>
      </c>
      <c r="EB157" s="409">
        <v>0</v>
      </c>
      <c r="EC157" s="409">
        <v>-5752.4988395830114</v>
      </c>
      <c r="ED157" s="409">
        <v>0</v>
      </c>
      <c r="EE157" s="409">
        <v>0</v>
      </c>
      <c r="EF157" s="409">
        <v>0</v>
      </c>
      <c r="EG157" s="409">
        <v>0</v>
      </c>
      <c r="EH157" s="409">
        <v>0</v>
      </c>
      <c r="EI157" s="409">
        <v>0</v>
      </c>
      <c r="EJ157" s="409">
        <v>0</v>
      </c>
      <c r="EK157" s="409">
        <v>0</v>
      </c>
      <c r="EL157" s="409">
        <v>0</v>
      </c>
      <c r="EM157" s="409">
        <v>0</v>
      </c>
      <c r="EN157" s="409">
        <v>0</v>
      </c>
      <c r="EO157" s="409">
        <v>0</v>
      </c>
      <c r="EP157" s="409">
        <v>0</v>
      </c>
      <c r="EQ157" s="409">
        <v>0</v>
      </c>
      <c r="ER157" s="409">
        <v>0</v>
      </c>
      <c r="ES157" s="409">
        <v>0</v>
      </c>
      <c r="ET157" s="409">
        <v>0</v>
      </c>
      <c r="EU157" s="409">
        <v>0</v>
      </c>
      <c r="EV157" s="409">
        <v>254</v>
      </c>
      <c r="EW157" s="409">
        <v>0</v>
      </c>
      <c r="EX157" s="409">
        <v>0</v>
      </c>
      <c r="EY157" s="409">
        <v>0</v>
      </c>
      <c r="EZ157" s="409"/>
      <c r="FA157" s="409">
        <v>0</v>
      </c>
      <c r="FB157" s="409"/>
      <c r="FC157" s="409"/>
      <c r="FD157" s="409"/>
      <c r="FE157" s="409"/>
      <c r="FF157" s="409">
        <v>0</v>
      </c>
      <c r="FG157" s="409">
        <v>0</v>
      </c>
      <c r="FH157" s="409">
        <v>0</v>
      </c>
      <c r="FI157" s="409">
        <v>0</v>
      </c>
    </row>
    <row r="158" spans="1:165">
      <c r="A158" s="409">
        <v>156</v>
      </c>
      <c r="B158" s="409" t="s">
        <v>2246</v>
      </c>
      <c r="C158" s="409" t="s">
        <v>2244</v>
      </c>
      <c r="D158" s="409" t="s">
        <v>1994</v>
      </c>
      <c r="E158" s="409" t="s">
        <v>997</v>
      </c>
      <c r="F158" s="409" t="s">
        <v>1323</v>
      </c>
      <c r="G158" s="409" t="s">
        <v>1323</v>
      </c>
      <c r="H158" s="409" t="s">
        <v>1323</v>
      </c>
      <c r="I158" s="409" t="s">
        <v>1323</v>
      </c>
      <c r="J158" s="409" t="s">
        <v>2245</v>
      </c>
      <c r="K158" s="835">
        <v>44470</v>
      </c>
      <c r="L158" s="409">
        <v>0</v>
      </c>
      <c r="M158" s="409">
        <v>0</v>
      </c>
      <c r="N158" s="409">
        <v>3.6379999999999999</v>
      </c>
      <c r="O158" s="409">
        <v>3.6379999999999999</v>
      </c>
      <c r="P158" s="409">
        <v>3.6379999999999999</v>
      </c>
      <c r="Q158" s="409">
        <v>3.6379999999999999</v>
      </c>
      <c r="R158" s="409"/>
      <c r="S158" s="409">
        <v>597.01</v>
      </c>
      <c r="T158" s="409">
        <v>243.39</v>
      </c>
      <c r="U158" s="409"/>
      <c r="V158" s="409">
        <v>3057.3751999999999</v>
      </c>
      <c r="W158" s="409">
        <v>3057.3751999999999</v>
      </c>
      <c r="X158" s="409">
        <v>2769.5366399999998</v>
      </c>
      <c r="Y158" s="409">
        <v>0</v>
      </c>
      <c r="Z158" s="409">
        <v>90.526091018388868</v>
      </c>
      <c r="AA158" s="409">
        <v>0</v>
      </c>
      <c r="AB158" s="409">
        <v>0</v>
      </c>
      <c r="AC158" s="409">
        <v>0</v>
      </c>
      <c r="AD158" s="409">
        <v>426.33382068843054</v>
      </c>
      <c r="AE158" s="409">
        <v>1491.7201530872555</v>
      </c>
      <c r="AF158" s="409">
        <v>885.44279658697656</v>
      </c>
      <c r="AG158" s="409">
        <v>0</v>
      </c>
      <c r="AH158" s="409">
        <v>0</v>
      </c>
      <c r="AI158" s="409">
        <v>0</v>
      </c>
      <c r="AJ158" s="409">
        <v>0</v>
      </c>
      <c r="AK158" s="409">
        <v>0</v>
      </c>
      <c r="AL158" s="409">
        <v>36.958772422852491</v>
      </c>
      <c r="AM158" s="409"/>
      <c r="AN158" s="409">
        <v>6.2459782265318928</v>
      </c>
      <c r="AO158" s="409">
        <v>0</v>
      </c>
      <c r="AP158" s="409">
        <v>0</v>
      </c>
      <c r="AQ158" s="409">
        <v>0</v>
      </c>
      <c r="AR158" s="409">
        <v>0</v>
      </c>
      <c r="AS158" s="409">
        <v>0</v>
      </c>
      <c r="AT158" s="409">
        <v>0</v>
      </c>
      <c r="AU158" s="409">
        <v>0</v>
      </c>
      <c r="AV158" s="409">
        <v>0</v>
      </c>
      <c r="AW158" s="409">
        <v>0</v>
      </c>
      <c r="AX158" s="409">
        <v>0</v>
      </c>
      <c r="AY158" s="409">
        <v>0</v>
      </c>
      <c r="AZ158" s="409">
        <v>0</v>
      </c>
      <c r="BA158" s="409"/>
      <c r="BB158" s="409">
        <v>0</v>
      </c>
      <c r="BC158" s="409">
        <v>0</v>
      </c>
      <c r="BD158" s="409">
        <v>0</v>
      </c>
      <c r="BE158" s="409">
        <v>0</v>
      </c>
      <c r="BF158" s="409">
        <v>0</v>
      </c>
      <c r="BG158" s="409">
        <v>120.12432013218678</v>
      </c>
      <c r="BH158" s="409">
        <v>0</v>
      </c>
      <c r="BI158" s="409">
        <v>0</v>
      </c>
      <c r="BJ158" s="409">
        <v>0</v>
      </c>
      <c r="BK158" s="409">
        <v>0</v>
      </c>
      <c r="BL158" s="409">
        <v>6</v>
      </c>
      <c r="BM158" s="409"/>
      <c r="BN158" s="409"/>
      <c r="BO158" s="409"/>
      <c r="BP158" s="409"/>
      <c r="BQ158" s="409"/>
      <c r="BR158" s="409"/>
      <c r="BS158" s="409"/>
      <c r="BT158" s="409"/>
      <c r="BU158" s="409"/>
      <c r="BV158" s="409">
        <v>1005.5671167191633</v>
      </c>
      <c r="BW158" s="409"/>
      <c r="BX158" s="409"/>
      <c r="BY158" s="409"/>
      <c r="BZ158" s="409"/>
      <c r="CA158" s="409"/>
      <c r="CB158" s="409"/>
      <c r="CC158" s="409"/>
      <c r="CD158" s="409"/>
      <c r="CE158" s="409"/>
      <c r="CF158" s="409"/>
      <c r="CG158" s="409"/>
      <c r="CH158" s="409"/>
      <c r="CI158" s="409">
        <v>2771.0592000000001</v>
      </c>
      <c r="CJ158" s="409">
        <v>-286.34600000000046</v>
      </c>
      <c r="CK158" s="409"/>
      <c r="CL158" s="409"/>
      <c r="CM158" s="409"/>
      <c r="CN158" s="409"/>
      <c r="CO158" s="409">
        <v>-318.61603999999994</v>
      </c>
      <c r="CP158" s="409">
        <v>30.777480000000029</v>
      </c>
      <c r="CQ158" s="409">
        <v>31</v>
      </c>
      <c r="CR158" s="409">
        <v>54.110968113481476</v>
      </c>
      <c r="CS158" s="409">
        <v>0</v>
      </c>
      <c r="CT158" s="409">
        <v>0</v>
      </c>
      <c r="CU158" s="409">
        <v>0</v>
      </c>
      <c r="CV158" s="409">
        <v>0</v>
      </c>
      <c r="CW158" s="409">
        <v>0</v>
      </c>
      <c r="CX158" s="409">
        <v>0</v>
      </c>
      <c r="CY158" s="409">
        <v>0</v>
      </c>
      <c r="CZ158" s="409">
        <v>15.983518513466265</v>
      </c>
      <c r="DA158" s="409">
        <v>0</v>
      </c>
      <c r="DB158" s="409">
        <v>0</v>
      </c>
      <c r="DC158" s="409">
        <v>40.562051946425868</v>
      </c>
      <c r="DD158" s="409">
        <v>0</v>
      </c>
      <c r="DE158" s="409">
        <v>0</v>
      </c>
      <c r="DF158" s="409">
        <v>0</v>
      </c>
      <c r="DG158" s="409">
        <v>5.5028839039767661</v>
      </c>
      <c r="DH158" s="409">
        <v>0</v>
      </c>
      <c r="DI158" s="409">
        <v>-0.66019598402034774</v>
      </c>
      <c r="DJ158" s="409"/>
      <c r="DK158" s="409">
        <v>0</v>
      </c>
      <c r="DL158" s="409">
        <v>0</v>
      </c>
      <c r="DM158" s="409">
        <v>0</v>
      </c>
      <c r="DN158" s="409">
        <v>0</v>
      </c>
      <c r="DO158" s="409">
        <v>-0.20729998852346654</v>
      </c>
      <c r="DP158" s="409">
        <v>-0.36790901544935917</v>
      </c>
      <c r="DQ158" s="409">
        <v>0</v>
      </c>
      <c r="DR158" s="409">
        <v>-6.7020812623940191</v>
      </c>
      <c r="DS158" s="409"/>
      <c r="DT158" s="409"/>
      <c r="DU158" s="409"/>
      <c r="DV158" s="409">
        <v>1491.7201530872555</v>
      </c>
      <c r="DW158" s="409">
        <v>0</v>
      </c>
      <c r="DX158" s="409">
        <v>0</v>
      </c>
      <c r="DY158" s="409">
        <v>-318.61604000000011</v>
      </c>
      <c r="DZ158" s="409">
        <v>30.777479999999969</v>
      </c>
      <c r="EA158" s="409">
        <v>0</v>
      </c>
      <c r="EB158" s="409">
        <v>0</v>
      </c>
      <c r="EC158" s="409">
        <v>-341.93733605220336</v>
      </c>
      <c r="ED158" s="409">
        <v>0</v>
      </c>
      <c r="EE158" s="409">
        <v>0</v>
      </c>
      <c r="EF158" s="409">
        <v>0</v>
      </c>
      <c r="EG158" s="409">
        <v>0</v>
      </c>
      <c r="EH158" s="409">
        <v>0</v>
      </c>
      <c r="EI158" s="409">
        <v>0</v>
      </c>
      <c r="EJ158" s="409">
        <v>0</v>
      </c>
      <c r="EK158" s="409">
        <v>0</v>
      </c>
      <c r="EL158" s="409">
        <v>0</v>
      </c>
      <c r="EM158" s="409">
        <v>0</v>
      </c>
      <c r="EN158" s="409">
        <v>0</v>
      </c>
      <c r="EO158" s="409">
        <v>0</v>
      </c>
      <c r="EP158" s="409">
        <v>0</v>
      </c>
      <c r="EQ158" s="409">
        <v>0</v>
      </c>
      <c r="ER158" s="409">
        <v>0</v>
      </c>
      <c r="ES158" s="409">
        <v>0</v>
      </c>
      <c r="ET158" s="409">
        <v>0</v>
      </c>
      <c r="EU158" s="409">
        <v>0</v>
      </c>
      <c r="EV158" s="409">
        <v>254</v>
      </c>
      <c r="EW158" s="409">
        <v>0</v>
      </c>
      <c r="EX158" s="409">
        <v>0</v>
      </c>
      <c r="EY158" s="409">
        <v>0</v>
      </c>
      <c r="EZ158" s="409"/>
      <c r="FA158" s="409">
        <v>0</v>
      </c>
      <c r="FB158" s="409"/>
      <c r="FC158" s="409"/>
      <c r="FD158" s="409"/>
      <c r="FE158" s="409"/>
      <c r="FF158" s="409">
        <v>0</v>
      </c>
      <c r="FG158" s="409">
        <v>0</v>
      </c>
      <c r="FH158" s="409">
        <v>0</v>
      </c>
      <c r="FI158" s="409">
        <v>0</v>
      </c>
    </row>
    <row r="159" spans="1:165">
      <c r="A159" s="409">
        <v>157</v>
      </c>
      <c r="B159" s="409" t="s">
        <v>1035</v>
      </c>
      <c r="C159" s="409" t="s">
        <v>2252</v>
      </c>
      <c r="D159" s="409" t="s">
        <v>1994</v>
      </c>
      <c r="E159" s="409" t="s">
        <v>997</v>
      </c>
      <c r="F159" s="409" t="s">
        <v>1323</v>
      </c>
      <c r="G159" s="409" t="s">
        <v>1323</v>
      </c>
      <c r="H159" s="409" t="s">
        <v>1323</v>
      </c>
      <c r="I159" s="409" t="s">
        <v>972</v>
      </c>
      <c r="J159" s="409" t="s">
        <v>2245</v>
      </c>
      <c r="K159" s="835">
        <v>44470</v>
      </c>
      <c r="L159" s="409">
        <v>0</v>
      </c>
      <c r="M159" s="409">
        <v>0</v>
      </c>
      <c r="N159" s="409">
        <v>1.2999999999999999E-2</v>
      </c>
      <c r="O159" s="409">
        <v>1.2999999999999999E-2</v>
      </c>
      <c r="P159" s="409">
        <v>1.2999999999999999E-2</v>
      </c>
      <c r="Q159" s="409">
        <v>1.2999999999999999E-2</v>
      </c>
      <c r="R159" s="409"/>
      <c r="S159" s="409">
        <v>1783.27</v>
      </c>
      <c r="T159" s="409">
        <v>243.39</v>
      </c>
      <c r="U159" s="409"/>
      <c r="V159" s="409">
        <v>26.346579999999996</v>
      </c>
      <c r="W159" s="409">
        <v>26.346579999999996</v>
      </c>
      <c r="X159" s="409">
        <v>22.719059999999999</v>
      </c>
      <c r="Y159" s="409">
        <v>0</v>
      </c>
      <c r="Z159" s="409">
        <v>0.32348520704756878</v>
      </c>
      <c r="AA159" s="409">
        <v>0</v>
      </c>
      <c r="AB159" s="409">
        <v>0</v>
      </c>
      <c r="AC159" s="409">
        <v>0</v>
      </c>
      <c r="AD159" s="409">
        <v>4.9512406528512853</v>
      </c>
      <c r="AE159" s="409">
        <v>17.324134679945598</v>
      </c>
      <c r="AF159" s="409">
        <v>3.1640341824163536</v>
      </c>
      <c r="AG159" s="409">
        <v>0</v>
      </c>
      <c r="AH159" s="409">
        <v>0</v>
      </c>
      <c r="AI159" s="409">
        <v>0</v>
      </c>
      <c r="AJ159" s="409">
        <v>0</v>
      </c>
      <c r="AK159" s="409">
        <v>0</v>
      </c>
      <c r="AL159" s="409">
        <v>0.13206818073036899</v>
      </c>
      <c r="AM159" s="409"/>
      <c r="AN159" s="409">
        <v>2.2319328462043597E-2</v>
      </c>
      <c r="AO159" s="409">
        <v>0</v>
      </c>
      <c r="AP159" s="409">
        <v>0</v>
      </c>
      <c r="AQ159" s="409">
        <v>0</v>
      </c>
      <c r="AR159" s="409">
        <v>0</v>
      </c>
      <c r="AS159" s="409">
        <v>0</v>
      </c>
      <c r="AT159" s="409">
        <v>0</v>
      </c>
      <c r="AU159" s="409">
        <v>0</v>
      </c>
      <c r="AV159" s="409">
        <v>0</v>
      </c>
      <c r="AW159" s="409">
        <v>0</v>
      </c>
      <c r="AX159" s="409">
        <v>0</v>
      </c>
      <c r="AY159" s="409">
        <v>0</v>
      </c>
      <c r="AZ159" s="409">
        <v>0</v>
      </c>
      <c r="BA159" s="409"/>
      <c r="BB159" s="409">
        <v>0</v>
      </c>
      <c r="BC159" s="409">
        <v>0</v>
      </c>
      <c r="BD159" s="409">
        <v>0</v>
      </c>
      <c r="BE159" s="409">
        <v>0</v>
      </c>
      <c r="BF159" s="409">
        <v>0</v>
      </c>
      <c r="BG159" s="409">
        <v>0.42925128139593954</v>
      </c>
      <c r="BH159" s="409">
        <v>0</v>
      </c>
      <c r="BI159" s="409">
        <v>0</v>
      </c>
      <c r="BJ159" s="409">
        <v>0</v>
      </c>
      <c r="BK159" s="409">
        <v>0</v>
      </c>
      <c r="BL159" s="409">
        <v>0</v>
      </c>
      <c r="BM159" s="409"/>
      <c r="BN159" s="409"/>
      <c r="BO159" s="409"/>
      <c r="BP159" s="409"/>
      <c r="BQ159" s="409"/>
      <c r="BR159" s="409"/>
      <c r="BS159" s="409"/>
      <c r="BT159" s="409"/>
      <c r="BU159" s="409"/>
      <c r="BV159" s="409">
        <v>3.5932854638122933</v>
      </c>
      <c r="BW159" s="409"/>
      <c r="BX159" s="409"/>
      <c r="BY159" s="409"/>
      <c r="BZ159" s="409"/>
      <c r="CA159" s="409"/>
      <c r="CB159" s="409"/>
      <c r="CC159" s="409"/>
      <c r="CD159" s="409"/>
      <c r="CE159" s="409"/>
      <c r="CF159" s="409"/>
      <c r="CG159" s="409"/>
      <c r="CH159" s="409"/>
      <c r="CI159" s="409">
        <v>17.476200000000002</v>
      </c>
      <c r="CJ159" s="409">
        <v>-8.9003799999999984</v>
      </c>
      <c r="CK159" s="409"/>
      <c r="CL159" s="409"/>
      <c r="CM159" s="409"/>
      <c r="CN159" s="409"/>
      <c r="CO159" s="409">
        <v>-3.7374999999999998</v>
      </c>
      <c r="CP159" s="409">
        <v>0.10998000000000009</v>
      </c>
      <c r="CQ159" s="409">
        <v>31</v>
      </c>
      <c r="CR159" s="409">
        <v>0.3436405430944518</v>
      </c>
      <c r="CS159" s="409">
        <v>0</v>
      </c>
      <c r="CT159" s="409">
        <v>0</v>
      </c>
      <c r="CU159" s="409">
        <v>0</v>
      </c>
      <c r="CV159" s="409">
        <v>0</v>
      </c>
      <c r="CW159" s="409">
        <v>0</v>
      </c>
      <c r="CX159" s="409">
        <v>0</v>
      </c>
      <c r="CY159" s="409">
        <v>0</v>
      </c>
      <c r="CZ159" s="409">
        <v>0.18562507312151322</v>
      </c>
      <c r="DA159" s="409">
        <v>0</v>
      </c>
      <c r="DB159" s="409">
        <v>0</v>
      </c>
      <c r="DC159" s="409">
        <v>0.14494411085858605</v>
      </c>
      <c r="DD159" s="409">
        <v>0</v>
      </c>
      <c r="DE159" s="409">
        <v>0</v>
      </c>
      <c r="DF159" s="409">
        <v>0</v>
      </c>
      <c r="DG159" s="409">
        <v>1.966396117418856E-2</v>
      </c>
      <c r="DH159" s="409">
        <v>0</v>
      </c>
      <c r="DI159" s="409">
        <v>-2.3591390303090987E-3</v>
      </c>
      <c r="DJ159" s="409"/>
      <c r="DK159" s="409">
        <v>0</v>
      </c>
      <c r="DL159" s="409">
        <v>0</v>
      </c>
      <c r="DM159" s="409">
        <v>0</v>
      </c>
      <c r="DN159" s="409">
        <v>0</v>
      </c>
      <c r="DO159" s="409">
        <v>-7.4076411511961315E-4</v>
      </c>
      <c r="DP159" s="409">
        <v>-1.3146831228261872E-3</v>
      </c>
      <c r="DQ159" s="409">
        <v>0</v>
      </c>
      <c r="DR159" s="409">
        <v>-2.1780157915822843E-3</v>
      </c>
      <c r="DS159" s="409"/>
      <c r="DT159" s="409"/>
      <c r="DU159" s="409"/>
      <c r="DV159" s="409">
        <v>17.324134679945598</v>
      </c>
      <c r="DW159" s="409">
        <v>0</v>
      </c>
      <c r="DX159" s="409">
        <v>0</v>
      </c>
      <c r="DY159" s="409">
        <v>-3.7374999999999972</v>
      </c>
      <c r="DZ159" s="409">
        <v>0.10998000000000019</v>
      </c>
      <c r="EA159" s="409">
        <v>0</v>
      </c>
      <c r="EB159" s="409">
        <v>0</v>
      </c>
      <c r="EC159" s="409">
        <v>-3.9710990359756284</v>
      </c>
      <c r="ED159" s="409">
        <v>0</v>
      </c>
      <c r="EE159" s="409">
        <v>0</v>
      </c>
      <c r="EF159" s="409">
        <v>0</v>
      </c>
      <c r="EG159" s="409">
        <v>0</v>
      </c>
      <c r="EH159" s="409">
        <v>0</v>
      </c>
      <c r="EI159" s="409">
        <v>0</v>
      </c>
      <c r="EJ159" s="409">
        <v>0</v>
      </c>
      <c r="EK159" s="409">
        <v>0</v>
      </c>
      <c r="EL159" s="409">
        <v>0</v>
      </c>
      <c r="EM159" s="409">
        <v>0</v>
      </c>
      <c r="EN159" s="409">
        <v>0</v>
      </c>
      <c r="EO159" s="409">
        <v>0</v>
      </c>
      <c r="EP159" s="409">
        <v>0</v>
      </c>
      <c r="EQ159" s="409">
        <v>0</v>
      </c>
      <c r="ER159" s="409">
        <v>0</v>
      </c>
      <c r="ES159" s="409">
        <v>0</v>
      </c>
      <c r="ET159" s="409">
        <v>0</v>
      </c>
      <c r="EU159" s="409">
        <v>0</v>
      </c>
      <c r="EV159" s="409">
        <v>254</v>
      </c>
      <c r="EW159" s="409">
        <v>0</v>
      </c>
      <c r="EX159" s="409">
        <v>0</v>
      </c>
      <c r="EY159" s="409">
        <v>0</v>
      </c>
      <c r="EZ159" s="409"/>
      <c r="FA159" s="409">
        <v>0</v>
      </c>
      <c r="FB159" s="409"/>
      <c r="FC159" s="409"/>
      <c r="FD159" s="409"/>
      <c r="FE159" s="409"/>
      <c r="FF159" s="409">
        <v>0</v>
      </c>
      <c r="FG159" s="409">
        <v>0</v>
      </c>
      <c r="FH159" s="409">
        <v>0</v>
      </c>
      <c r="FI159" s="409">
        <v>0</v>
      </c>
    </row>
    <row r="160" spans="1:165">
      <c r="A160" s="409">
        <v>158</v>
      </c>
      <c r="B160" s="409" t="s">
        <v>1035</v>
      </c>
      <c r="C160" s="409" t="s">
        <v>2252</v>
      </c>
      <c r="D160" s="409" t="s">
        <v>1994</v>
      </c>
      <c r="E160" s="409" t="s">
        <v>997</v>
      </c>
      <c r="F160" s="409" t="s">
        <v>1323</v>
      </c>
      <c r="G160" s="409" t="s">
        <v>1323</v>
      </c>
      <c r="H160" s="409" t="s">
        <v>1323</v>
      </c>
      <c r="I160" s="409" t="s">
        <v>2237</v>
      </c>
      <c r="J160" s="409" t="s">
        <v>2245</v>
      </c>
      <c r="K160" s="835">
        <v>44470</v>
      </c>
      <c r="L160" s="409">
        <v>0</v>
      </c>
      <c r="M160" s="409">
        <v>0</v>
      </c>
      <c r="N160" s="409">
        <v>0.501</v>
      </c>
      <c r="O160" s="409">
        <v>0.501</v>
      </c>
      <c r="P160" s="409">
        <v>0.501</v>
      </c>
      <c r="Q160" s="409">
        <v>0.501</v>
      </c>
      <c r="R160" s="409"/>
      <c r="S160" s="409">
        <v>412.48</v>
      </c>
      <c r="T160" s="409">
        <v>243.39</v>
      </c>
      <c r="U160" s="409"/>
      <c r="V160" s="409">
        <v>328.59087</v>
      </c>
      <c r="W160" s="409">
        <v>328.59087</v>
      </c>
      <c r="X160" s="409">
        <v>304.53285</v>
      </c>
      <c r="Y160" s="409">
        <v>0</v>
      </c>
      <c r="Z160" s="409">
        <v>12.466622210063997</v>
      </c>
      <c r="AA160" s="409">
        <v>0</v>
      </c>
      <c r="AB160" s="409">
        <v>0</v>
      </c>
      <c r="AC160" s="409">
        <v>0</v>
      </c>
      <c r="AD160" s="409">
        <v>38.163242030465653</v>
      </c>
      <c r="AE160" s="409">
        <v>133.52915597980171</v>
      </c>
      <c r="AF160" s="409">
        <v>121.93700964543025</v>
      </c>
      <c r="AG160" s="409">
        <v>0</v>
      </c>
      <c r="AH160" s="409">
        <v>0</v>
      </c>
      <c r="AI160" s="409">
        <v>0</v>
      </c>
      <c r="AJ160" s="409">
        <v>0</v>
      </c>
      <c r="AK160" s="409">
        <v>0</v>
      </c>
      <c r="AL160" s="409">
        <v>5.0897045035319124</v>
      </c>
      <c r="AM160" s="409"/>
      <c r="AN160" s="409">
        <v>0.86015258149875717</v>
      </c>
      <c r="AO160" s="409">
        <v>0</v>
      </c>
      <c r="AP160" s="409">
        <v>0</v>
      </c>
      <c r="AQ160" s="409">
        <v>0</v>
      </c>
      <c r="AR160" s="409">
        <v>0</v>
      </c>
      <c r="AS160" s="409">
        <v>0</v>
      </c>
      <c r="AT160" s="409">
        <v>0</v>
      </c>
      <c r="AU160" s="409">
        <v>0</v>
      </c>
      <c r="AV160" s="409">
        <v>0</v>
      </c>
      <c r="AW160" s="409">
        <v>0</v>
      </c>
      <c r="AX160" s="409">
        <v>0</v>
      </c>
      <c r="AY160" s="409">
        <v>0</v>
      </c>
      <c r="AZ160" s="409">
        <v>0</v>
      </c>
      <c r="BA160" s="409"/>
      <c r="BB160" s="409">
        <v>0</v>
      </c>
      <c r="BC160" s="409">
        <v>0</v>
      </c>
      <c r="BD160" s="409">
        <v>0</v>
      </c>
      <c r="BE160" s="409">
        <v>0</v>
      </c>
      <c r="BF160" s="409">
        <v>0</v>
      </c>
      <c r="BG160" s="409">
        <v>16.542683998412748</v>
      </c>
      <c r="BH160" s="409">
        <v>0</v>
      </c>
      <c r="BI160" s="409">
        <v>0</v>
      </c>
      <c r="BJ160" s="409">
        <v>0</v>
      </c>
      <c r="BK160" s="409">
        <v>0</v>
      </c>
      <c r="BL160" s="409">
        <v>0</v>
      </c>
      <c r="BM160" s="409"/>
      <c r="BN160" s="409"/>
      <c r="BO160" s="409"/>
      <c r="BP160" s="409"/>
      <c r="BQ160" s="409"/>
      <c r="BR160" s="409"/>
      <c r="BS160" s="409"/>
      <c r="BT160" s="409"/>
      <c r="BU160" s="409"/>
      <c r="BV160" s="409">
        <v>138.47969364384301</v>
      </c>
      <c r="BW160" s="409"/>
      <c r="BX160" s="409"/>
      <c r="BY160" s="409"/>
      <c r="BZ160" s="409"/>
      <c r="CA160" s="409"/>
      <c r="CB160" s="409"/>
      <c r="CC160" s="409"/>
      <c r="CD160" s="409"/>
      <c r="CE160" s="409"/>
      <c r="CF160" s="409"/>
      <c r="CG160" s="409"/>
      <c r="CH160" s="409"/>
      <c r="CI160" s="409">
        <v>303.92500000000001</v>
      </c>
      <c r="CJ160" s="409">
        <v>-24.695869999999957</v>
      </c>
      <c r="CK160" s="409"/>
      <c r="CL160" s="409"/>
      <c r="CM160" s="409"/>
      <c r="CN160" s="409"/>
      <c r="CO160" s="409">
        <v>-28.29648000000001</v>
      </c>
      <c r="CP160" s="409">
        <v>4.2384600000000043</v>
      </c>
      <c r="CQ160" s="409">
        <v>31</v>
      </c>
      <c r="CR160" s="409">
        <v>6.5508959933844437</v>
      </c>
      <c r="CS160" s="409">
        <v>0</v>
      </c>
      <c r="CT160" s="409">
        <v>0</v>
      </c>
      <c r="CU160" s="409">
        <v>0</v>
      </c>
      <c r="CV160" s="409">
        <v>0</v>
      </c>
      <c r="CW160" s="409">
        <v>0</v>
      </c>
      <c r="CX160" s="409">
        <v>0</v>
      </c>
      <c r="CY160" s="409">
        <v>0</v>
      </c>
      <c r="CZ160" s="409">
        <v>1.4307635376963503</v>
      </c>
      <c r="DA160" s="409">
        <v>0</v>
      </c>
      <c r="DB160" s="409">
        <v>0</v>
      </c>
      <c r="DC160" s="409">
        <v>5.5859230415501315</v>
      </c>
      <c r="DD160" s="409">
        <v>0</v>
      </c>
      <c r="DE160" s="409">
        <v>0</v>
      </c>
      <c r="DF160" s="409">
        <v>0</v>
      </c>
      <c r="DG160" s="409">
        <v>0.75781881140526508</v>
      </c>
      <c r="DH160" s="409">
        <v>0</v>
      </c>
      <c r="DI160" s="409">
        <v>-9.0917588783449688E-2</v>
      </c>
      <c r="DJ160" s="409"/>
      <c r="DK160" s="409">
        <v>0</v>
      </c>
      <c r="DL160" s="409">
        <v>0</v>
      </c>
      <c r="DM160" s="409">
        <v>0</v>
      </c>
      <c r="DN160" s="409">
        <v>0</v>
      </c>
      <c r="DO160" s="409">
        <v>-2.8547909359608603E-2</v>
      </c>
      <c r="DP160" s="409">
        <v>-5.0665864964301588E-2</v>
      </c>
      <c r="DQ160" s="409">
        <v>0</v>
      </c>
      <c r="DR160" s="409">
        <v>-1.0534780341599383</v>
      </c>
      <c r="DS160" s="409"/>
      <c r="DT160" s="409"/>
      <c r="DU160" s="409"/>
      <c r="DV160" s="409">
        <v>133.52915597980171</v>
      </c>
      <c r="DW160" s="409">
        <v>0</v>
      </c>
      <c r="DX160" s="409">
        <v>0</v>
      </c>
      <c r="DY160" s="409">
        <v>-28.296480000000003</v>
      </c>
      <c r="DZ160" s="409">
        <v>4.2384600000000034</v>
      </c>
      <c r="EA160" s="409">
        <v>0</v>
      </c>
      <c r="EB160" s="409">
        <v>0</v>
      </c>
      <c r="EC160" s="409">
        <v>-30.608022413947651</v>
      </c>
      <c r="ED160" s="409">
        <v>0</v>
      </c>
      <c r="EE160" s="409">
        <v>0</v>
      </c>
      <c r="EF160" s="409">
        <v>0</v>
      </c>
      <c r="EG160" s="409">
        <v>0</v>
      </c>
      <c r="EH160" s="409">
        <v>0</v>
      </c>
      <c r="EI160" s="409">
        <v>0</v>
      </c>
      <c r="EJ160" s="409">
        <v>0</v>
      </c>
      <c r="EK160" s="409">
        <v>0</v>
      </c>
      <c r="EL160" s="409">
        <v>0</v>
      </c>
      <c r="EM160" s="409">
        <v>0</v>
      </c>
      <c r="EN160" s="409">
        <v>0</v>
      </c>
      <c r="EO160" s="409">
        <v>0</v>
      </c>
      <c r="EP160" s="409">
        <v>0</v>
      </c>
      <c r="EQ160" s="409">
        <v>0</v>
      </c>
      <c r="ER160" s="409">
        <v>0</v>
      </c>
      <c r="ES160" s="409">
        <v>0</v>
      </c>
      <c r="ET160" s="409">
        <v>0</v>
      </c>
      <c r="EU160" s="409">
        <v>0</v>
      </c>
      <c r="EV160" s="409">
        <v>254</v>
      </c>
      <c r="EW160" s="409">
        <v>0</v>
      </c>
      <c r="EX160" s="409">
        <v>0</v>
      </c>
      <c r="EY160" s="409">
        <v>0</v>
      </c>
      <c r="EZ160" s="409"/>
      <c r="FA160" s="409">
        <v>0</v>
      </c>
      <c r="FB160" s="409"/>
      <c r="FC160" s="409"/>
      <c r="FD160" s="409"/>
      <c r="FE160" s="409"/>
      <c r="FF160" s="409">
        <v>0</v>
      </c>
      <c r="FG160" s="409">
        <v>0</v>
      </c>
      <c r="FH160" s="409">
        <v>0</v>
      </c>
      <c r="FI160" s="409">
        <v>0</v>
      </c>
    </row>
    <row r="161" spans="1:165">
      <c r="A161" s="409">
        <v>159</v>
      </c>
      <c r="B161" s="409" t="s">
        <v>1035</v>
      </c>
      <c r="C161" s="409" t="s">
        <v>2252</v>
      </c>
      <c r="D161" s="409" t="s">
        <v>1994</v>
      </c>
      <c r="E161" s="409" t="s">
        <v>997</v>
      </c>
      <c r="F161" s="409" t="s">
        <v>1323</v>
      </c>
      <c r="G161" s="409" t="s">
        <v>1323</v>
      </c>
      <c r="H161" s="409" t="s">
        <v>1323</v>
      </c>
      <c r="I161" s="409" t="s">
        <v>1323</v>
      </c>
      <c r="J161" s="409" t="s">
        <v>2245</v>
      </c>
      <c r="K161" s="835">
        <v>44470</v>
      </c>
      <c r="L161" s="409">
        <v>0</v>
      </c>
      <c r="M161" s="409">
        <v>0</v>
      </c>
      <c r="N161" s="409">
        <v>0</v>
      </c>
      <c r="O161" s="409">
        <v>0</v>
      </c>
      <c r="P161" s="409">
        <v>0</v>
      </c>
      <c r="Q161" s="409">
        <v>0</v>
      </c>
      <c r="R161" s="409"/>
      <c r="S161" s="409"/>
      <c r="T161" s="409"/>
      <c r="U161" s="409"/>
      <c r="V161" s="409"/>
      <c r="W161" s="409"/>
      <c r="X161" s="409"/>
      <c r="Y161" s="409"/>
      <c r="Z161" s="409"/>
      <c r="AA161" s="409">
        <v>0</v>
      </c>
      <c r="AB161" s="409"/>
      <c r="AC161" s="409"/>
      <c r="AD161" s="409"/>
      <c r="AE161" s="409"/>
      <c r="AF161" s="409"/>
      <c r="AG161" s="409"/>
      <c r="AH161" s="409"/>
      <c r="AI161" s="409"/>
      <c r="AJ161" s="409"/>
      <c r="AK161" s="409"/>
      <c r="AL161" s="409"/>
      <c r="AM161" s="409"/>
      <c r="AN161" s="409"/>
      <c r="AO161" s="409"/>
      <c r="AP161" s="409"/>
      <c r="AQ161" s="409"/>
      <c r="AR161" s="409"/>
      <c r="AS161" s="409"/>
      <c r="AT161" s="409"/>
      <c r="AU161" s="409"/>
      <c r="AV161" s="409"/>
      <c r="AW161" s="409"/>
      <c r="AX161" s="409"/>
      <c r="AY161" s="409"/>
      <c r="AZ161" s="409">
        <v>0</v>
      </c>
      <c r="BA161" s="409"/>
      <c r="BB161" s="409"/>
      <c r="BC161" s="409"/>
      <c r="BD161" s="409"/>
      <c r="BE161" s="409"/>
      <c r="BF161" s="409"/>
      <c r="BG161" s="409"/>
      <c r="BH161" s="409"/>
      <c r="BI161" s="409">
        <v>0</v>
      </c>
      <c r="BJ161" s="409">
        <v>0</v>
      </c>
      <c r="BK161" s="409">
        <v>0</v>
      </c>
      <c r="BL161" s="409">
        <v>1</v>
      </c>
      <c r="BM161" s="409"/>
      <c r="BN161" s="409"/>
      <c r="BO161" s="409"/>
      <c r="BP161" s="409"/>
      <c r="BQ161" s="409"/>
      <c r="BR161" s="409"/>
      <c r="BS161" s="409"/>
      <c r="BT161" s="409"/>
      <c r="BU161" s="409"/>
      <c r="BV161" s="409"/>
      <c r="BW161" s="409"/>
      <c r="BX161" s="409"/>
      <c r="BY161" s="409"/>
      <c r="BZ161" s="409"/>
      <c r="CA161" s="409"/>
      <c r="CB161" s="409"/>
      <c r="CC161" s="409"/>
      <c r="CD161" s="409"/>
      <c r="CE161" s="409"/>
      <c r="CF161" s="409"/>
      <c r="CG161" s="409"/>
      <c r="CH161" s="409"/>
      <c r="CI161" s="409"/>
      <c r="CJ161" s="409">
        <v>-0.03</v>
      </c>
      <c r="CK161" s="409"/>
      <c r="CL161" s="409"/>
      <c r="CM161" s="409"/>
      <c r="CN161" s="409"/>
      <c r="CO161" s="409">
        <v>0</v>
      </c>
      <c r="CP161" s="409">
        <v>0</v>
      </c>
      <c r="CQ161" s="409">
        <v>31</v>
      </c>
      <c r="CR161" s="409"/>
      <c r="CS161" s="409"/>
      <c r="CT161" s="409"/>
      <c r="CU161" s="409"/>
      <c r="CV161" s="409"/>
      <c r="CW161" s="409"/>
      <c r="CX161" s="409"/>
      <c r="CY161" s="409"/>
      <c r="CZ161" s="409"/>
      <c r="DA161" s="409"/>
      <c r="DB161" s="409"/>
      <c r="DC161" s="409"/>
      <c r="DD161" s="409"/>
      <c r="DE161" s="409"/>
      <c r="DF161" s="409"/>
      <c r="DG161" s="409"/>
      <c r="DH161" s="409"/>
      <c r="DI161" s="409"/>
      <c r="DJ161" s="409"/>
      <c r="DK161" s="409">
        <v>0</v>
      </c>
      <c r="DL161" s="409"/>
      <c r="DM161" s="409"/>
      <c r="DN161" s="409"/>
      <c r="DO161" s="409"/>
      <c r="DP161" s="409"/>
      <c r="DQ161" s="409"/>
      <c r="DR161" s="409"/>
      <c r="DS161" s="409"/>
      <c r="DT161" s="409"/>
      <c r="DU161" s="409"/>
      <c r="DV161" s="409"/>
      <c r="DW161" s="409"/>
      <c r="DX161" s="409"/>
      <c r="DY161" s="409"/>
      <c r="DZ161" s="409"/>
      <c r="EA161" s="409"/>
      <c r="EB161" s="409"/>
      <c r="EC161" s="409"/>
      <c r="ED161" s="409"/>
      <c r="EE161" s="409"/>
      <c r="EF161" s="409"/>
      <c r="EG161" s="409"/>
      <c r="EH161" s="409"/>
      <c r="EI161" s="409"/>
      <c r="EJ161" s="409"/>
      <c r="EK161" s="409"/>
      <c r="EL161" s="409"/>
      <c r="EM161" s="409"/>
      <c r="EN161" s="409"/>
      <c r="EO161" s="409"/>
      <c r="EP161" s="409"/>
      <c r="EQ161" s="409"/>
      <c r="ER161" s="409"/>
      <c r="ES161" s="409"/>
      <c r="ET161" s="409"/>
      <c r="EU161" s="409"/>
      <c r="EV161" s="409">
        <v>254</v>
      </c>
      <c r="EW161" s="409"/>
      <c r="EX161" s="409"/>
      <c r="EY161" s="409"/>
      <c r="EZ161" s="409"/>
      <c r="FA161" s="409">
        <v>0</v>
      </c>
      <c r="FB161" s="409"/>
      <c r="FC161" s="409"/>
      <c r="FD161" s="409"/>
      <c r="FE161" s="409"/>
      <c r="FF161" s="409">
        <v>0</v>
      </c>
      <c r="FG161" s="409">
        <v>0</v>
      </c>
      <c r="FH161" s="409">
        <v>0</v>
      </c>
      <c r="FI161" s="409">
        <v>0</v>
      </c>
    </row>
    <row r="162" spans="1:165">
      <c r="A162" s="409">
        <v>160</v>
      </c>
      <c r="B162" s="409" t="s">
        <v>1035</v>
      </c>
      <c r="C162" s="409" t="s">
        <v>2252</v>
      </c>
      <c r="D162" s="409" t="s">
        <v>1994</v>
      </c>
      <c r="E162" s="409" t="s">
        <v>997</v>
      </c>
      <c r="F162" s="409" t="s">
        <v>1323</v>
      </c>
      <c r="G162" s="409" t="s">
        <v>1323</v>
      </c>
      <c r="H162" s="409" t="s">
        <v>1323</v>
      </c>
      <c r="I162" s="409" t="s">
        <v>2253</v>
      </c>
      <c r="J162" s="409" t="s">
        <v>2245</v>
      </c>
      <c r="K162" s="835">
        <v>44470</v>
      </c>
      <c r="L162" s="409">
        <v>0</v>
      </c>
      <c r="M162" s="409">
        <v>0</v>
      </c>
      <c r="N162" s="409">
        <v>1.0999999999999999E-2</v>
      </c>
      <c r="O162" s="409">
        <v>1.0999999999999999E-2</v>
      </c>
      <c r="P162" s="409">
        <v>1.0999999999999999E-2</v>
      </c>
      <c r="Q162" s="409">
        <v>1.0999999999999999E-2</v>
      </c>
      <c r="R162" s="409"/>
      <c r="S162" s="409">
        <v>1097.8699999999999</v>
      </c>
      <c r="T162" s="409">
        <v>243.39</v>
      </c>
      <c r="U162" s="409"/>
      <c r="V162" s="409">
        <v>14.753859999999998</v>
      </c>
      <c r="W162" s="409">
        <v>14.753859999999998</v>
      </c>
      <c r="X162" s="409">
        <v>12.955030000000001</v>
      </c>
      <c r="Y162" s="409">
        <v>0</v>
      </c>
      <c r="Z162" s="409">
        <v>0.2737182521171736</v>
      </c>
      <c r="AA162" s="409">
        <v>0</v>
      </c>
      <c r="AB162" s="409">
        <v>0</v>
      </c>
      <c r="AC162" s="409">
        <v>0</v>
      </c>
      <c r="AD162" s="409">
        <v>2.5137261281960188</v>
      </c>
      <c r="AE162" s="409">
        <v>8.7953284704979762</v>
      </c>
      <c r="AF162" s="409">
        <v>2.6772596928138377</v>
      </c>
      <c r="AG162" s="409">
        <v>0</v>
      </c>
      <c r="AH162" s="409">
        <v>0</v>
      </c>
      <c r="AI162" s="409">
        <v>0</v>
      </c>
      <c r="AJ162" s="409">
        <v>0</v>
      </c>
      <c r="AK162" s="409">
        <v>0</v>
      </c>
      <c r="AL162" s="409">
        <v>0.11174999907954299</v>
      </c>
      <c r="AM162" s="409"/>
      <c r="AN162" s="409">
        <v>1.8885585621729199E-2</v>
      </c>
      <c r="AO162" s="409">
        <v>0</v>
      </c>
      <c r="AP162" s="409">
        <v>0</v>
      </c>
      <c r="AQ162" s="409">
        <v>0</v>
      </c>
      <c r="AR162" s="409">
        <v>0</v>
      </c>
      <c r="AS162" s="409">
        <v>0</v>
      </c>
      <c r="AT162" s="409">
        <v>0</v>
      </c>
      <c r="AU162" s="409">
        <v>0</v>
      </c>
      <c r="AV162" s="409">
        <v>0</v>
      </c>
      <c r="AW162" s="409">
        <v>0</v>
      </c>
      <c r="AX162" s="409">
        <v>0</v>
      </c>
      <c r="AY162" s="409">
        <v>0</v>
      </c>
      <c r="AZ162" s="409">
        <v>0</v>
      </c>
      <c r="BA162" s="409"/>
      <c r="BB162" s="409">
        <v>0</v>
      </c>
      <c r="BC162" s="409">
        <v>0</v>
      </c>
      <c r="BD162" s="409">
        <v>0</v>
      </c>
      <c r="BE162" s="409">
        <v>0</v>
      </c>
      <c r="BF162" s="409">
        <v>0</v>
      </c>
      <c r="BG162" s="409">
        <v>0.36321262271964116</v>
      </c>
      <c r="BH162" s="409">
        <v>0</v>
      </c>
      <c r="BI162" s="409">
        <v>0</v>
      </c>
      <c r="BJ162" s="409">
        <v>0</v>
      </c>
      <c r="BK162" s="409">
        <v>0</v>
      </c>
      <c r="BL162" s="409">
        <v>0</v>
      </c>
      <c r="BM162" s="409"/>
      <c r="BN162" s="409"/>
      <c r="BO162" s="409"/>
      <c r="BP162" s="409"/>
      <c r="BQ162" s="409"/>
      <c r="BR162" s="409"/>
      <c r="BS162" s="409"/>
      <c r="BT162" s="409"/>
      <c r="BU162" s="409"/>
      <c r="BV162" s="409">
        <v>3.0404723155334787</v>
      </c>
      <c r="BW162" s="409"/>
      <c r="BX162" s="409"/>
      <c r="BY162" s="409"/>
      <c r="BZ162" s="409"/>
      <c r="CA162" s="409"/>
      <c r="CB162" s="409"/>
      <c r="CC162" s="409"/>
      <c r="CD162" s="409"/>
      <c r="CE162" s="409"/>
      <c r="CF162" s="409"/>
      <c r="CG162" s="409"/>
      <c r="CH162" s="409"/>
      <c r="CI162" s="409">
        <v>11.7773</v>
      </c>
      <c r="CJ162" s="409">
        <v>-3.0065599999999968</v>
      </c>
      <c r="CK162" s="409"/>
      <c r="CL162" s="409"/>
      <c r="CM162" s="409"/>
      <c r="CN162" s="409"/>
      <c r="CO162" s="409">
        <v>-1.8918899999999987</v>
      </c>
      <c r="CP162" s="409">
        <v>9.3060000000000087E-2</v>
      </c>
      <c r="CQ162" s="409">
        <v>31</v>
      </c>
      <c r="CR162" s="409">
        <v>0.21730289944307657</v>
      </c>
      <c r="CS162" s="409">
        <v>0</v>
      </c>
      <c r="CT162" s="409">
        <v>0</v>
      </c>
      <c r="CU162" s="409">
        <v>0</v>
      </c>
      <c r="CV162" s="409">
        <v>0</v>
      </c>
      <c r="CW162" s="409">
        <v>0</v>
      </c>
      <c r="CX162" s="409">
        <v>0</v>
      </c>
      <c r="CY162" s="409">
        <v>0</v>
      </c>
      <c r="CZ162" s="409">
        <v>9.4241146627595196E-2</v>
      </c>
      <c r="DA162" s="409">
        <v>0</v>
      </c>
      <c r="DB162" s="409">
        <v>0</v>
      </c>
      <c r="DC162" s="409">
        <v>0.12264501688034191</v>
      </c>
      <c r="DD162" s="409">
        <v>0</v>
      </c>
      <c r="DE162" s="409">
        <v>0</v>
      </c>
      <c r="DF162" s="409">
        <v>0</v>
      </c>
      <c r="DG162" s="409">
        <v>1.6638736378159547E-2</v>
      </c>
      <c r="DH162" s="409">
        <v>0</v>
      </c>
      <c r="DI162" s="409">
        <v>-1.9961945641077117E-3</v>
      </c>
      <c r="DJ162" s="409"/>
      <c r="DK162" s="409">
        <v>0</v>
      </c>
      <c r="DL162" s="409">
        <v>0</v>
      </c>
      <c r="DM162" s="409">
        <v>0</v>
      </c>
      <c r="DN162" s="409">
        <v>0</v>
      </c>
      <c r="DO162" s="409">
        <v>-6.2680040510119939E-4</v>
      </c>
      <c r="DP162" s="409">
        <v>-1.1124241808529306E-3</v>
      </c>
      <c r="DQ162" s="409">
        <v>0</v>
      </c>
      <c r="DR162" s="409">
        <v>-1.2486581292958848E-2</v>
      </c>
      <c r="DS162" s="409"/>
      <c r="DT162" s="409"/>
      <c r="DU162" s="409"/>
      <c r="DV162" s="409">
        <v>8.7953284704979762</v>
      </c>
      <c r="DW162" s="409">
        <v>0</v>
      </c>
      <c r="DX162" s="409">
        <v>0</v>
      </c>
      <c r="DY162" s="409">
        <v>-1.8918899999999983</v>
      </c>
      <c r="DZ162" s="409">
        <v>9.3059999999999921E-2</v>
      </c>
      <c r="EA162" s="409">
        <v>0</v>
      </c>
      <c r="EB162" s="409">
        <v>0</v>
      </c>
      <c r="EC162" s="409">
        <v>-2.0160961026650837</v>
      </c>
      <c r="ED162" s="409">
        <v>0</v>
      </c>
      <c r="EE162" s="409">
        <v>0</v>
      </c>
      <c r="EF162" s="409">
        <v>0</v>
      </c>
      <c r="EG162" s="409">
        <v>0</v>
      </c>
      <c r="EH162" s="409">
        <v>0</v>
      </c>
      <c r="EI162" s="409">
        <v>0</v>
      </c>
      <c r="EJ162" s="409">
        <v>0</v>
      </c>
      <c r="EK162" s="409">
        <v>0</v>
      </c>
      <c r="EL162" s="409">
        <v>0</v>
      </c>
      <c r="EM162" s="409">
        <v>0</v>
      </c>
      <c r="EN162" s="409">
        <v>0</v>
      </c>
      <c r="EO162" s="409">
        <v>0</v>
      </c>
      <c r="EP162" s="409">
        <v>0</v>
      </c>
      <c r="EQ162" s="409">
        <v>0</v>
      </c>
      <c r="ER162" s="409">
        <v>0</v>
      </c>
      <c r="ES162" s="409">
        <v>0</v>
      </c>
      <c r="ET162" s="409">
        <v>0</v>
      </c>
      <c r="EU162" s="409">
        <v>0</v>
      </c>
      <c r="EV162" s="409">
        <v>254</v>
      </c>
      <c r="EW162" s="409">
        <v>0</v>
      </c>
      <c r="EX162" s="409">
        <v>0</v>
      </c>
      <c r="EY162" s="409">
        <v>0</v>
      </c>
      <c r="EZ162" s="409"/>
      <c r="FA162" s="409">
        <v>0</v>
      </c>
      <c r="FB162" s="409"/>
      <c r="FC162" s="409"/>
      <c r="FD162" s="409"/>
      <c r="FE162" s="409"/>
      <c r="FF162" s="409">
        <v>0</v>
      </c>
      <c r="FG162" s="409">
        <v>0</v>
      </c>
      <c r="FH162" s="409">
        <v>0</v>
      </c>
      <c r="FI162" s="409">
        <v>0</v>
      </c>
    </row>
    <row r="163" spans="1:165">
      <c r="A163" s="409">
        <v>161</v>
      </c>
      <c r="B163" s="409" t="s">
        <v>1035</v>
      </c>
      <c r="C163" s="409" t="s">
        <v>2244</v>
      </c>
      <c r="D163" s="409" t="s">
        <v>2254</v>
      </c>
      <c r="E163" s="409" t="s">
        <v>973</v>
      </c>
      <c r="F163" s="409" t="s">
        <v>1323</v>
      </c>
      <c r="G163" s="409" t="s">
        <v>1323</v>
      </c>
      <c r="H163" s="409" t="s">
        <v>1323</v>
      </c>
      <c r="I163" s="409" t="s">
        <v>1323</v>
      </c>
      <c r="J163" s="409" t="s">
        <v>2245</v>
      </c>
      <c r="K163" s="835">
        <v>44470</v>
      </c>
      <c r="L163" s="409">
        <v>0</v>
      </c>
      <c r="M163" s="409">
        <v>0</v>
      </c>
      <c r="N163" s="409">
        <v>193.477</v>
      </c>
      <c r="O163" s="409">
        <v>193.477</v>
      </c>
      <c r="P163" s="409">
        <v>193.477</v>
      </c>
      <c r="Q163" s="409">
        <v>193.477</v>
      </c>
      <c r="R163" s="409"/>
      <c r="S163" s="409">
        <v>597.01</v>
      </c>
      <c r="T163" s="409">
        <v>243.39</v>
      </c>
      <c r="U163" s="409"/>
      <c r="V163" s="409">
        <v>162598.07080000002</v>
      </c>
      <c r="W163" s="409">
        <v>162598.07080000002</v>
      </c>
      <c r="X163" s="409">
        <v>147290.17056</v>
      </c>
      <c r="Y163" s="409">
        <v>0</v>
      </c>
      <c r="Z163" s="409">
        <v>4814.3805695340361</v>
      </c>
      <c r="AA163" s="409">
        <v>0</v>
      </c>
      <c r="AB163" s="409">
        <v>0</v>
      </c>
      <c r="AC163" s="409">
        <v>0</v>
      </c>
      <c r="AD163" s="409">
        <v>22673.388846986116</v>
      </c>
      <c r="AE163" s="409">
        <v>79333.023655542318</v>
      </c>
      <c r="AF163" s="409">
        <v>47089.833962412995</v>
      </c>
      <c r="AG163" s="409">
        <v>0</v>
      </c>
      <c r="AH163" s="409">
        <v>0</v>
      </c>
      <c r="AI163" s="409">
        <v>0</v>
      </c>
      <c r="AJ163" s="409">
        <v>0</v>
      </c>
      <c r="AK163" s="409">
        <v>0</v>
      </c>
      <c r="AL163" s="409">
        <v>1965.550415628431</v>
      </c>
      <c r="AM163" s="409"/>
      <c r="AN163" s="409">
        <v>332.17513175775457</v>
      </c>
      <c r="AO163" s="409">
        <v>0</v>
      </c>
      <c r="AP163" s="409">
        <v>0</v>
      </c>
      <c r="AQ163" s="409">
        <v>0</v>
      </c>
      <c r="AR163" s="409">
        <v>0</v>
      </c>
      <c r="AS163" s="409">
        <v>0</v>
      </c>
      <c r="AT163" s="409">
        <v>0</v>
      </c>
      <c r="AU163" s="409">
        <v>0</v>
      </c>
      <c r="AV163" s="409">
        <v>0</v>
      </c>
      <c r="AW163" s="409">
        <v>0</v>
      </c>
      <c r="AX163" s="409">
        <v>0</v>
      </c>
      <c r="AY163" s="409">
        <v>0</v>
      </c>
      <c r="AZ163" s="409">
        <v>0</v>
      </c>
      <c r="BA163" s="409"/>
      <c r="BB163" s="409">
        <v>0</v>
      </c>
      <c r="BC163" s="409">
        <v>0</v>
      </c>
      <c r="BD163" s="409">
        <v>0</v>
      </c>
      <c r="BE163" s="409">
        <v>0</v>
      </c>
      <c r="BF163" s="409">
        <v>0</v>
      </c>
      <c r="BG163" s="409">
        <v>6388.4807823570927</v>
      </c>
      <c r="BH163" s="409">
        <v>0</v>
      </c>
      <c r="BI163" s="409">
        <v>114.23</v>
      </c>
      <c r="BJ163" s="409">
        <v>527.88</v>
      </c>
      <c r="BK163" s="409">
        <v>0</v>
      </c>
      <c r="BL163" s="409">
        <v>1761</v>
      </c>
      <c r="BM163" s="409"/>
      <c r="BN163" s="409"/>
      <c r="BO163" s="409"/>
      <c r="BP163" s="409"/>
      <c r="BQ163" s="409"/>
      <c r="BR163" s="409">
        <v>17676.058719999997</v>
      </c>
      <c r="BS163" s="409"/>
      <c r="BT163" s="409"/>
      <c r="BU163" s="409"/>
      <c r="BV163" s="409">
        <v>53478.31474477009</v>
      </c>
      <c r="BW163" s="409"/>
      <c r="BX163" s="409"/>
      <c r="BY163" s="409"/>
      <c r="BZ163" s="409"/>
      <c r="CA163" s="409"/>
      <c r="CB163" s="409"/>
      <c r="CC163" s="409"/>
      <c r="CD163" s="409"/>
      <c r="CE163" s="409"/>
      <c r="CF163" s="409"/>
      <c r="CG163" s="409"/>
      <c r="CH163" s="409"/>
      <c r="CI163" s="409">
        <v>129616.1216</v>
      </c>
      <c r="CJ163" s="409">
        <v>-13469.823749999996</v>
      </c>
      <c r="CK163" s="409"/>
      <c r="CL163" s="409"/>
      <c r="CM163" s="409"/>
      <c r="CN163" s="409"/>
      <c r="CO163" s="409">
        <v>-16944.715659999998</v>
      </c>
      <c r="CP163" s="409">
        <v>1636.8154200000015</v>
      </c>
      <c r="CQ163" s="409">
        <v>31</v>
      </c>
      <c r="CR163" s="409">
        <v>2877.7426546707284</v>
      </c>
      <c r="CS163" s="409">
        <v>0</v>
      </c>
      <c r="CT163" s="409">
        <v>0</v>
      </c>
      <c r="CU163" s="409">
        <v>0</v>
      </c>
      <c r="CV163" s="409">
        <v>0</v>
      </c>
      <c r="CW163" s="409">
        <v>0</v>
      </c>
      <c r="CX163" s="409">
        <v>0</v>
      </c>
      <c r="CY163" s="409">
        <v>0</v>
      </c>
      <c r="CZ163" s="409">
        <v>850.03936542878</v>
      </c>
      <c r="DA163" s="409">
        <v>0</v>
      </c>
      <c r="DB163" s="409">
        <v>0</v>
      </c>
      <c r="DC163" s="409">
        <v>2157.1809028143543</v>
      </c>
      <c r="DD163" s="409">
        <v>0</v>
      </c>
      <c r="DE163" s="409">
        <v>0</v>
      </c>
      <c r="DF163" s="409">
        <v>0</v>
      </c>
      <c r="DG163" s="409">
        <v>292.6557089306516</v>
      </c>
      <c r="DH163" s="409">
        <v>0</v>
      </c>
      <c r="DI163" s="409">
        <v>-35.110703243623902</v>
      </c>
      <c r="DJ163" s="409"/>
      <c r="DK163" s="409">
        <v>0</v>
      </c>
      <c r="DL163" s="409">
        <v>0</v>
      </c>
      <c r="DM163" s="409">
        <v>0</v>
      </c>
      <c r="DN163" s="409">
        <v>0</v>
      </c>
      <c r="DO163" s="409">
        <v>-11.024678361615088</v>
      </c>
      <c r="DP163" s="409">
        <v>-19.566226658080211</v>
      </c>
      <c r="DQ163" s="409">
        <v>0</v>
      </c>
      <c r="DR163" s="409">
        <v>-356.43171423974923</v>
      </c>
      <c r="DS163" s="409"/>
      <c r="DT163" s="409"/>
      <c r="DU163" s="409"/>
      <c r="DV163" s="409">
        <v>79333.023655542318</v>
      </c>
      <c r="DW163" s="409">
        <v>0</v>
      </c>
      <c r="DX163" s="409">
        <v>0</v>
      </c>
      <c r="DY163" s="409">
        <v>-16944.715660000002</v>
      </c>
      <c r="DZ163" s="409">
        <v>1636.815419999999</v>
      </c>
      <c r="EA163" s="409">
        <v>0</v>
      </c>
      <c r="EB163" s="409">
        <v>0</v>
      </c>
      <c r="EC163" s="409">
        <v>-18184.994493505263</v>
      </c>
      <c r="ED163" s="409">
        <v>0</v>
      </c>
      <c r="EE163" s="409">
        <v>0</v>
      </c>
      <c r="EF163" s="409">
        <v>0</v>
      </c>
      <c r="EG163" s="409">
        <v>0</v>
      </c>
      <c r="EH163" s="409">
        <v>0</v>
      </c>
      <c r="EI163" s="409">
        <v>0</v>
      </c>
      <c r="EJ163" s="409">
        <v>0</v>
      </c>
      <c r="EK163" s="409">
        <v>0</v>
      </c>
      <c r="EL163" s="409">
        <v>0</v>
      </c>
      <c r="EM163" s="409">
        <v>0</v>
      </c>
      <c r="EN163" s="409">
        <v>0</v>
      </c>
      <c r="EO163" s="409">
        <v>0</v>
      </c>
      <c r="EP163" s="409">
        <v>0</v>
      </c>
      <c r="EQ163" s="409">
        <v>0</v>
      </c>
      <c r="ER163" s="409">
        <v>0</v>
      </c>
      <c r="ES163" s="409">
        <v>0</v>
      </c>
      <c r="ET163" s="409">
        <v>0</v>
      </c>
      <c r="EU163" s="409">
        <v>0</v>
      </c>
      <c r="EV163" s="409">
        <v>254</v>
      </c>
      <c r="EW163" s="409">
        <v>0</v>
      </c>
      <c r="EX163" s="409">
        <v>0</v>
      </c>
      <c r="EY163" s="409">
        <v>0</v>
      </c>
      <c r="EZ163" s="409"/>
      <c r="FA163" s="409">
        <v>0</v>
      </c>
      <c r="FB163" s="409"/>
      <c r="FC163" s="409"/>
      <c r="FD163" s="409"/>
      <c r="FE163" s="409"/>
      <c r="FF163" s="409">
        <v>0</v>
      </c>
      <c r="FG163" s="409">
        <v>0</v>
      </c>
      <c r="FH163" s="409">
        <v>0</v>
      </c>
      <c r="FI163" s="409">
        <v>0</v>
      </c>
    </row>
    <row r="164" spans="1:165">
      <c r="A164" s="409">
        <v>162</v>
      </c>
      <c r="B164" s="409" t="s">
        <v>2246</v>
      </c>
      <c r="C164" s="409" t="s">
        <v>2244</v>
      </c>
      <c r="D164" s="409" t="s">
        <v>2254</v>
      </c>
      <c r="E164" s="409" t="s">
        <v>973</v>
      </c>
      <c r="F164" s="409" t="s">
        <v>1323</v>
      </c>
      <c r="G164" s="409" t="s">
        <v>1323</v>
      </c>
      <c r="H164" s="409" t="s">
        <v>1323</v>
      </c>
      <c r="I164" s="409" t="s">
        <v>1323</v>
      </c>
      <c r="J164" s="409" t="s">
        <v>2245</v>
      </c>
      <c r="K164" s="835">
        <v>44470</v>
      </c>
      <c r="L164" s="409">
        <v>0</v>
      </c>
      <c r="M164" s="409">
        <v>0</v>
      </c>
      <c r="N164" s="409">
        <v>1.6419999999999999</v>
      </c>
      <c r="O164" s="409">
        <v>1.6419999999999999</v>
      </c>
      <c r="P164" s="409">
        <v>1.6419999999999999</v>
      </c>
      <c r="Q164" s="409">
        <v>1.6419999999999999</v>
      </c>
      <c r="R164" s="409"/>
      <c r="S164" s="409">
        <v>597.01</v>
      </c>
      <c r="T164" s="409">
        <v>243.39</v>
      </c>
      <c r="U164" s="409"/>
      <c r="V164" s="409">
        <v>1379.9367999999999</v>
      </c>
      <c r="W164" s="409">
        <v>1379.9367999999999</v>
      </c>
      <c r="X164" s="409">
        <v>1250.0217600000001</v>
      </c>
      <c r="Y164" s="409">
        <v>0</v>
      </c>
      <c r="Z164" s="409">
        <v>40.858669997854456</v>
      </c>
      <c r="AA164" s="409">
        <v>0</v>
      </c>
      <c r="AB164" s="409">
        <v>0</v>
      </c>
      <c r="AC164" s="409">
        <v>0</v>
      </c>
      <c r="AD164" s="409">
        <v>192.42444573128174</v>
      </c>
      <c r="AE164" s="409">
        <v>673.28325766060289</v>
      </c>
      <c r="AF164" s="409">
        <v>399.64185596366559</v>
      </c>
      <c r="AG164" s="409">
        <v>0</v>
      </c>
      <c r="AH164" s="409">
        <v>0</v>
      </c>
      <c r="AI164" s="409">
        <v>0</v>
      </c>
      <c r="AJ164" s="409">
        <v>0</v>
      </c>
      <c r="AK164" s="409">
        <v>0</v>
      </c>
      <c r="AL164" s="409">
        <v>16.681227135328143</v>
      </c>
      <c r="AM164" s="409"/>
      <c r="AN164" s="409">
        <v>2.8191028718981221</v>
      </c>
      <c r="AO164" s="409">
        <v>0</v>
      </c>
      <c r="AP164" s="409">
        <v>0</v>
      </c>
      <c r="AQ164" s="409">
        <v>0</v>
      </c>
      <c r="AR164" s="409">
        <v>0</v>
      </c>
      <c r="AS164" s="409">
        <v>0</v>
      </c>
      <c r="AT164" s="409">
        <v>0</v>
      </c>
      <c r="AU164" s="409">
        <v>0</v>
      </c>
      <c r="AV164" s="409">
        <v>0</v>
      </c>
      <c r="AW164" s="409">
        <v>0</v>
      </c>
      <c r="AX164" s="409">
        <v>0</v>
      </c>
      <c r="AY164" s="409">
        <v>0</v>
      </c>
      <c r="AZ164" s="409">
        <v>0</v>
      </c>
      <c r="BA164" s="409"/>
      <c r="BB164" s="409">
        <v>0</v>
      </c>
      <c r="BC164" s="409">
        <v>0</v>
      </c>
      <c r="BD164" s="409">
        <v>0</v>
      </c>
      <c r="BE164" s="409">
        <v>0</v>
      </c>
      <c r="BF164" s="409">
        <v>0</v>
      </c>
      <c r="BG164" s="409">
        <v>54.217738773240981</v>
      </c>
      <c r="BH164" s="409">
        <v>0</v>
      </c>
      <c r="BI164" s="409">
        <v>0</v>
      </c>
      <c r="BJ164" s="409">
        <v>0</v>
      </c>
      <c r="BK164" s="409">
        <v>0</v>
      </c>
      <c r="BL164" s="409">
        <v>7</v>
      </c>
      <c r="BM164" s="409"/>
      <c r="BN164" s="409"/>
      <c r="BO164" s="409"/>
      <c r="BP164" s="409"/>
      <c r="BQ164" s="409"/>
      <c r="BR164" s="409">
        <v>150.01311999999996</v>
      </c>
      <c r="BS164" s="409"/>
      <c r="BT164" s="409"/>
      <c r="BU164" s="409"/>
      <c r="BV164" s="409">
        <v>453.85959473690656</v>
      </c>
      <c r="BW164" s="409"/>
      <c r="BX164" s="409"/>
      <c r="BY164" s="409"/>
      <c r="BZ164" s="409"/>
      <c r="CA164" s="409"/>
      <c r="CB164" s="409"/>
      <c r="CC164" s="409"/>
      <c r="CD164" s="409"/>
      <c r="CE164" s="409"/>
      <c r="CF164" s="409"/>
      <c r="CG164" s="409"/>
      <c r="CH164" s="409"/>
      <c r="CI164" s="409">
        <v>1098.6687999999999</v>
      </c>
      <c r="CJ164" s="409">
        <v>-115.70229999999992</v>
      </c>
      <c r="CK164" s="409"/>
      <c r="CL164" s="409"/>
      <c r="CM164" s="409"/>
      <c r="CN164" s="409"/>
      <c r="CO164" s="409">
        <v>-143.80635999999996</v>
      </c>
      <c r="CP164" s="409">
        <v>13.891320000000013</v>
      </c>
      <c r="CQ164" s="409">
        <v>31</v>
      </c>
      <c r="CR164" s="409">
        <v>24.422817383819734</v>
      </c>
      <c r="CS164" s="409">
        <v>0</v>
      </c>
      <c r="CT164" s="409">
        <v>0</v>
      </c>
      <c r="CU164" s="409">
        <v>0</v>
      </c>
      <c r="CV164" s="409">
        <v>0</v>
      </c>
      <c r="CW164" s="409">
        <v>0</v>
      </c>
      <c r="CX164" s="409">
        <v>0</v>
      </c>
      <c r="CY164" s="409">
        <v>0</v>
      </c>
      <c r="CZ164" s="409">
        <v>7.2141114346100892</v>
      </c>
      <c r="DA164" s="409">
        <v>0</v>
      </c>
      <c r="DB164" s="409">
        <v>0</v>
      </c>
      <c r="DC164" s="409">
        <v>18.307556156138332</v>
      </c>
      <c r="DD164" s="409">
        <v>0</v>
      </c>
      <c r="DE164" s="409">
        <v>0</v>
      </c>
      <c r="DF164" s="409">
        <v>0</v>
      </c>
      <c r="DG164" s="409">
        <v>2.483709557539818</v>
      </c>
      <c r="DH164" s="409">
        <v>0</v>
      </c>
      <c r="DI164" s="409">
        <v>-0.29797740675134321</v>
      </c>
      <c r="DJ164" s="409"/>
      <c r="DK164" s="409">
        <v>0</v>
      </c>
      <c r="DL164" s="409">
        <v>0</v>
      </c>
      <c r="DM164" s="409">
        <v>0</v>
      </c>
      <c r="DN164" s="409">
        <v>0</v>
      </c>
      <c r="DO164" s="409">
        <v>-9.3564205925105171E-2</v>
      </c>
      <c r="DP164" s="409">
        <v>-0.16605459136004619</v>
      </c>
      <c r="DQ164" s="409">
        <v>0</v>
      </c>
      <c r="DR164" s="409">
        <v>-3.024963560431825</v>
      </c>
      <c r="DS164" s="409"/>
      <c r="DT164" s="409"/>
      <c r="DU164" s="409"/>
      <c r="DV164" s="409">
        <v>673.28325766060289</v>
      </c>
      <c r="DW164" s="409">
        <v>0</v>
      </c>
      <c r="DX164" s="409">
        <v>0</v>
      </c>
      <c r="DY164" s="409">
        <v>-143.80635999999993</v>
      </c>
      <c r="DZ164" s="409">
        <v>13.891320000000007</v>
      </c>
      <c r="EA164" s="409">
        <v>0</v>
      </c>
      <c r="EB164" s="409">
        <v>0</v>
      </c>
      <c r="EC164" s="409">
        <v>-154.33235453483167</v>
      </c>
      <c r="ED164" s="409">
        <v>0</v>
      </c>
      <c r="EE164" s="409">
        <v>0</v>
      </c>
      <c r="EF164" s="409">
        <v>0</v>
      </c>
      <c r="EG164" s="409">
        <v>0</v>
      </c>
      <c r="EH164" s="409">
        <v>0</v>
      </c>
      <c r="EI164" s="409">
        <v>0</v>
      </c>
      <c r="EJ164" s="409">
        <v>0</v>
      </c>
      <c r="EK164" s="409">
        <v>0</v>
      </c>
      <c r="EL164" s="409">
        <v>0</v>
      </c>
      <c r="EM164" s="409">
        <v>0</v>
      </c>
      <c r="EN164" s="409">
        <v>0</v>
      </c>
      <c r="EO164" s="409">
        <v>0</v>
      </c>
      <c r="EP164" s="409">
        <v>0</v>
      </c>
      <c r="EQ164" s="409">
        <v>0</v>
      </c>
      <c r="ER164" s="409">
        <v>0</v>
      </c>
      <c r="ES164" s="409">
        <v>0</v>
      </c>
      <c r="ET164" s="409">
        <v>0</v>
      </c>
      <c r="EU164" s="409">
        <v>0</v>
      </c>
      <c r="EV164" s="409">
        <v>254</v>
      </c>
      <c r="EW164" s="409">
        <v>0</v>
      </c>
      <c r="EX164" s="409">
        <v>0</v>
      </c>
      <c r="EY164" s="409">
        <v>0</v>
      </c>
      <c r="EZ164" s="409"/>
      <c r="FA164" s="409">
        <v>0</v>
      </c>
      <c r="FB164" s="409"/>
      <c r="FC164" s="409"/>
      <c r="FD164" s="409"/>
      <c r="FE164" s="409"/>
      <c r="FF164" s="409">
        <v>0</v>
      </c>
      <c r="FG164" s="409">
        <v>0</v>
      </c>
      <c r="FH164" s="409">
        <v>0</v>
      </c>
      <c r="FI164" s="409">
        <v>0</v>
      </c>
    </row>
    <row r="165" spans="1:165">
      <c r="A165" s="409">
        <v>163</v>
      </c>
      <c r="B165" s="409" t="s">
        <v>1035</v>
      </c>
      <c r="C165" s="409" t="s">
        <v>2252</v>
      </c>
      <c r="D165" s="409" t="s">
        <v>2254</v>
      </c>
      <c r="E165" s="409" t="s">
        <v>973</v>
      </c>
      <c r="F165" s="409" t="s">
        <v>1323</v>
      </c>
      <c r="G165" s="409" t="s">
        <v>1323</v>
      </c>
      <c r="H165" s="409" t="s">
        <v>1323</v>
      </c>
      <c r="I165" s="409" t="s">
        <v>972</v>
      </c>
      <c r="J165" s="409" t="s">
        <v>2245</v>
      </c>
      <c r="K165" s="835">
        <v>44470</v>
      </c>
      <c r="L165" s="409">
        <v>0</v>
      </c>
      <c r="M165" s="409">
        <v>0</v>
      </c>
      <c r="N165" s="409">
        <v>1.4E-2</v>
      </c>
      <c r="O165" s="409">
        <v>1.4E-2</v>
      </c>
      <c r="P165" s="409">
        <v>1.4E-2</v>
      </c>
      <c r="Q165" s="409">
        <v>1.4E-2</v>
      </c>
      <c r="R165" s="409"/>
      <c r="S165" s="409">
        <v>1298.56</v>
      </c>
      <c r="T165" s="409">
        <v>214.18</v>
      </c>
      <c r="U165" s="409"/>
      <c r="V165" s="409">
        <v>21.178359999999998</v>
      </c>
      <c r="W165" s="409">
        <v>21.178359999999998</v>
      </c>
      <c r="X165" s="409">
        <v>18.379340000000003</v>
      </c>
      <c r="Y165" s="409">
        <v>0</v>
      </c>
      <c r="Z165" s="409">
        <v>0.30656444237123459</v>
      </c>
      <c r="AA165" s="409">
        <v>0</v>
      </c>
      <c r="AB165" s="409">
        <v>0</v>
      </c>
      <c r="AC165" s="409">
        <v>0</v>
      </c>
      <c r="AD165" s="409">
        <v>3.8498348811486061</v>
      </c>
      <c r="AE165" s="409">
        <v>13.470321419110206</v>
      </c>
      <c r="AF165" s="409">
        <v>2.9985308559514978</v>
      </c>
      <c r="AG165" s="409">
        <v>0</v>
      </c>
      <c r="AH165" s="409">
        <v>0</v>
      </c>
      <c r="AI165" s="409">
        <v>0</v>
      </c>
      <c r="AJ165" s="409">
        <v>0</v>
      </c>
      <c r="AK165" s="409">
        <v>0</v>
      </c>
      <c r="AL165" s="409">
        <v>0.12515999896908803</v>
      </c>
      <c r="AM165" s="409"/>
      <c r="AN165" s="409">
        <v>2.1151855896336762E-2</v>
      </c>
      <c r="AO165" s="409">
        <v>0</v>
      </c>
      <c r="AP165" s="409">
        <v>0</v>
      </c>
      <c r="AQ165" s="409">
        <v>0</v>
      </c>
      <c r="AR165" s="409">
        <v>0</v>
      </c>
      <c r="AS165" s="409">
        <v>0</v>
      </c>
      <c r="AT165" s="409">
        <v>0</v>
      </c>
      <c r="AU165" s="409">
        <v>0</v>
      </c>
      <c r="AV165" s="409">
        <v>0</v>
      </c>
      <c r="AW165" s="409">
        <v>0</v>
      </c>
      <c r="AX165" s="409">
        <v>0</v>
      </c>
      <c r="AY165" s="409">
        <v>0</v>
      </c>
      <c r="AZ165" s="409">
        <v>0</v>
      </c>
      <c r="BA165" s="409"/>
      <c r="BB165" s="409">
        <v>0</v>
      </c>
      <c r="BC165" s="409">
        <v>0</v>
      </c>
      <c r="BD165" s="409">
        <v>0</v>
      </c>
      <c r="BE165" s="409">
        <v>0</v>
      </c>
      <c r="BF165" s="409">
        <v>0</v>
      </c>
      <c r="BG165" s="409">
        <v>0.40679813744599819</v>
      </c>
      <c r="BH165" s="409">
        <v>0</v>
      </c>
      <c r="BI165" s="409">
        <v>0</v>
      </c>
      <c r="BJ165" s="409">
        <v>0</v>
      </c>
      <c r="BK165" s="409">
        <v>0</v>
      </c>
      <c r="BL165" s="409">
        <v>0</v>
      </c>
      <c r="BM165" s="409"/>
      <c r="BN165" s="409"/>
      <c r="BO165" s="409"/>
      <c r="BP165" s="409"/>
      <c r="BQ165" s="409"/>
      <c r="BR165" s="409"/>
      <c r="BS165" s="409"/>
      <c r="BT165" s="409"/>
      <c r="BU165" s="409"/>
      <c r="BV165" s="409">
        <v>3.4053289933974962</v>
      </c>
      <c r="BW165" s="409"/>
      <c r="BX165" s="409"/>
      <c r="BY165" s="409"/>
      <c r="BZ165" s="409"/>
      <c r="CA165" s="409"/>
      <c r="CB165" s="409"/>
      <c r="CC165" s="409"/>
      <c r="CD165" s="409"/>
      <c r="CE165" s="409"/>
      <c r="CF165" s="409"/>
      <c r="CG165" s="409"/>
      <c r="CH165" s="409"/>
      <c r="CI165" s="409">
        <v>13.128100000000002</v>
      </c>
      <c r="CJ165" s="409">
        <v>-8.0802600000000009</v>
      </c>
      <c r="CK165" s="409"/>
      <c r="CL165" s="409"/>
      <c r="CM165" s="409"/>
      <c r="CN165" s="409"/>
      <c r="CO165" s="409">
        <v>-2.9033199999999986</v>
      </c>
      <c r="CP165" s="409">
        <v>0.10429999999999984</v>
      </c>
      <c r="CQ165" s="409">
        <v>31</v>
      </c>
      <c r="CR165" s="409">
        <v>0.2887321475726905</v>
      </c>
      <c r="CS165" s="409">
        <v>0</v>
      </c>
      <c r="CT165" s="409">
        <v>0</v>
      </c>
      <c r="CU165" s="409">
        <v>0</v>
      </c>
      <c r="CV165" s="409">
        <v>0</v>
      </c>
      <c r="CW165" s="409">
        <v>0</v>
      </c>
      <c r="CX165" s="409">
        <v>0</v>
      </c>
      <c r="CY165" s="409">
        <v>0</v>
      </c>
      <c r="CZ165" s="409">
        <v>0.14433268980926606</v>
      </c>
      <c r="DA165" s="409">
        <v>0</v>
      </c>
      <c r="DB165" s="409">
        <v>0</v>
      </c>
      <c r="DC165" s="409">
        <v>0.13736241890597833</v>
      </c>
      <c r="DD165" s="409">
        <v>0</v>
      </c>
      <c r="DE165" s="409">
        <v>0</v>
      </c>
      <c r="DF165" s="409">
        <v>0</v>
      </c>
      <c r="DG165" s="409">
        <v>1.8635384743539207E-2</v>
      </c>
      <c r="DH165" s="409">
        <v>0</v>
      </c>
      <c r="DI165" s="409">
        <v>-2.2357379118003728E-3</v>
      </c>
      <c r="DJ165" s="409"/>
      <c r="DK165" s="409">
        <v>0</v>
      </c>
      <c r="DL165" s="409">
        <v>0</v>
      </c>
      <c r="DM165" s="409">
        <v>0</v>
      </c>
      <c r="DN165" s="409">
        <v>0</v>
      </c>
      <c r="DO165" s="409">
        <v>-7.0201645371270605E-4</v>
      </c>
      <c r="DP165" s="409">
        <v>-1.2459150825553621E-3</v>
      </c>
      <c r="DQ165" s="409">
        <v>0</v>
      </c>
      <c r="DR165" s="409">
        <v>-7.414676438024518E-3</v>
      </c>
      <c r="DS165" s="409"/>
      <c r="DT165" s="409"/>
      <c r="DU165" s="409"/>
      <c r="DV165" s="409">
        <v>13.470321419110206</v>
      </c>
      <c r="DW165" s="409">
        <v>0</v>
      </c>
      <c r="DX165" s="409">
        <v>0</v>
      </c>
      <c r="DY165" s="409">
        <v>-2.9033199999999972</v>
      </c>
      <c r="DZ165" s="409">
        <v>0.10429999999999984</v>
      </c>
      <c r="EA165" s="409">
        <v>0</v>
      </c>
      <c r="EB165" s="409">
        <v>0</v>
      </c>
      <c r="EC165" s="409">
        <v>-3.0877144163299697</v>
      </c>
      <c r="ED165" s="409">
        <v>0</v>
      </c>
      <c r="EE165" s="409">
        <v>0</v>
      </c>
      <c r="EF165" s="409">
        <v>0</v>
      </c>
      <c r="EG165" s="409">
        <v>0</v>
      </c>
      <c r="EH165" s="409">
        <v>0</v>
      </c>
      <c r="EI165" s="409">
        <v>0</v>
      </c>
      <c r="EJ165" s="409">
        <v>0</v>
      </c>
      <c r="EK165" s="409">
        <v>0</v>
      </c>
      <c r="EL165" s="409">
        <v>0</v>
      </c>
      <c r="EM165" s="409">
        <v>0</v>
      </c>
      <c r="EN165" s="409">
        <v>0</v>
      </c>
      <c r="EO165" s="409">
        <v>0</v>
      </c>
      <c r="EP165" s="409">
        <v>0</v>
      </c>
      <c r="EQ165" s="409">
        <v>0</v>
      </c>
      <c r="ER165" s="409">
        <v>0</v>
      </c>
      <c r="ES165" s="409">
        <v>0</v>
      </c>
      <c r="ET165" s="409">
        <v>0</v>
      </c>
      <c r="EU165" s="409">
        <v>0</v>
      </c>
      <c r="EV165" s="409">
        <v>254</v>
      </c>
      <c r="EW165" s="409">
        <v>0</v>
      </c>
      <c r="EX165" s="409">
        <v>0</v>
      </c>
      <c r="EY165" s="409">
        <v>0</v>
      </c>
      <c r="EZ165" s="409"/>
      <c r="FA165" s="409">
        <v>0</v>
      </c>
      <c r="FB165" s="409"/>
      <c r="FC165" s="409"/>
      <c r="FD165" s="409"/>
      <c r="FE165" s="409"/>
      <c r="FF165" s="409">
        <v>0</v>
      </c>
      <c r="FG165" s="409">
        <v>0</v>
      </c>
      <c r="FH165" s="409">
        <v>0</v>
      </c>
      <c r="FI165" s="409">
        <v>0</v>
      </c>
    </row>
    <row r="166" spans="1:165">
      <c r="A166" s="409">
        <v>164</v>
      </c>
      <c r="B166" s="409" t="s">
        <v>1035</v>
      </c>
      <c r="C166" s="409" t="s">
        <v>2252</v>
      </c>
      <c r="D166" s="409" t="s">
        <v>2254</v>
      </c>
      <c r="E166" s="409" t="s">
        <v>973</v>
      </c>
      <c r="F166" s="409" t="s">
        <v>1323</v>
      </c>
      <c r="G166" s="409" t="s">
        <v>1323</v>
      </c>
      <c r="H166" s="409" t="s">
        <v>1323</v>
      </c>
      <c r="I166" s="409" t="s">
        <v>2237</v>
      </c>
      <c r="J166" s="409" t="s">
        <v>2245</v>
      </c>
      <c r="K166" s="835">
        <v>44470</v>
      </c>
      <c r="L166" s="409">
        <v>0</v>
      </c>
      <c r="M166" s="409">
        <v>0</v>
      </c>
      <c r="N166" s="409">
        <v>2.4430000000000001</v>
      </c>
      <c r="O166" s="409">
        <v>2.4430000000000001</v>
      </c>
      <c r="P166" s="409">
        <v>2.4430000000000001</v>
      </c>
      <c r="Q166" s="409">
        <v>2.4430000000000001</v>
      </c>
      <c r="R166" s="409"/>
      <c r="S166" s="409">
        <v>308.83999999999997</v>
      </c>
      <c r="T166" s="409">
        <v>214.18</v>
      </c>
      <c r="U166" s="409"/>
      <c r="V166" s="409">
        <v>1277.73786</v>
      </c>
      <c r="W166" s="409">
        <v>1277.73786</v>
      </c>
      <c r="X166" s="409">
        <v>1196.8012699999999</v>
      </c>
      <c r="Y166" s="409">
        <v>0</v>
      </c>
      <c r="Z166" s="409">
        <v>53.495495193780442</v>
      </c>
      <c r="AA166" s="409">
        <v>0</v>
      </c>
      <c r="AB166" s="409">
        <v>0</v>
      </c>
      <c r="AC166" s="409">
        <v>0</v>
      </c>
      <c r="AD166" s="409">
        <v>134.36306594754473</v>
      </c>
      <c r="AE166" s="409">
        <v>470.11445941509737</v>
      </c>
      <c r="AF166" s="409">
        <v>523.24363436353633</v>
      </c>
      <c r="AG166" s="409">
        <v>0</v>
      </c>
      <c r="AH166" s="409">
        <v>0</v>
      </c>
      <c r="AI166" s="409">
        <v>0</v>
      </c>
      <c r="AJ166" s="409">
        <v>0</v>
      </c>
      <c r="AK166" s="409">
        <v>0</v>
      </c>
      <c r="AL166" s="409">
        <v>21.840419820105861</v>
      </c>
      <c r="AM166" s="409"/>
      <c r="AN166" s="409">
        <v>3.6909988539107648</v>
      </c>
      <c r="AO166" s="409">
        <v>0</v>
      </c>
      <c r="AP166" s="409">
        <v>0</v>
      </c>
      <c r="AQ166" s="409">
        <v>0</v>
      </c>
      <c r="AR166" s="409">
        <v>0</v>
      </c>
      <c r="AS166" s="409">
        <v>0</v>
      </c>
      <c r="AT166" s="409">
        <v>0</v>
      </c>
      <c r="AU166" s="409">
        <v>0</v>
      </c>
      <c r="AV166" s="409">
        <v>0</v>
      </c>
      <c r="AW166" s="409">
        <v>0</v>
      </c>
      <c r="AX166" s="409">
        <v>0</v>
      </c>
      <c r="AY166" s="409">
        <v>0</v>
      </c>
      <c r="AZ166" s="409">
        <v>0</v>
      </c>
      <c r="BA166" s="409"/>
      <c r="BB166" s="409">
        <v>0</v>
      </c>
      <c r="BC166" s="409">
        <v>0</v>
      </c>
      <c r="BD166" s="409">
        <v>0</v>
      </c>
      <c r="BE166" s="409">
        <v>0</v>
      </c>
      <c r="BF166" s="409">
        <v>0</v>
      </c>
      <c r="BG166" s="409">
        <v>70.986274984326684</v>
      </c>
      <c r="BH166" s="409">
        <v>0</v>
      </c>
      <c r="BI166" s="409">
        <v>0</v>
      </c>
      <c r="BJ166" s="409">
        <v>0</v>
      </c>
      <c r="BK166" s="409">
        <v>0</v>
      </c>
      <c r="BL166" s="409">
        <v>0</v>
      </c>
      <c r="BM166" s="409"/>
      <c r="BN166" s="409"/>
      <c r="BO166" s="409"/>
      <c r="BP166" s="409"/>
      <c r="BQ166" s="409"/>
      <c r="BR166" s="409"/>
      <c r="BS166" s="409"/>
      <c r="BT166" s="409"/>
      <c r="BU166" s="409"/>
      <c r="BV166" s="409">
        <v>594.22990934786299</v>
      </c>
      <c r="BW166" s="409"/>
      <c r="BX166" s="409"/>
      <c r="BY166" s="409"/>
      <c r="BZ166" s="409"/>
      <c r="CA166" s="409"/>
      <c r="CB166" s="409"/>
      <c r="CC166" s="409"/>
      <c r="CD166" s="409"/>
      <c r="CE166" s="409"/>
      <c r="CF166" s="409"/>
      <c r="CG166" s="409"/>
      <c r="CH166" s="409"/>
      <c r="CI166" s="409">
        <v>1195.3316</v>
      </c>
      <c r="CJ166" s="409">
        <v>-82.436259999999947</v>
      </c>
      <c r="CK166" s="409"/>
      <c r="CL166" s="409"/>
      <c r="CM166" s="409"/>
      <c r="CN166" s="409"/>
      <c r="CO166" s="409">
        <v>-99.136939999999967</v>
      </c>
      <c r="CP166" s="409">
        <v>18.200349999999972</v>
      </c>
      <c r="CQ166" s="409">
        <v>31</v>
      </c>
      <c r="CR166" s="409">
        <v>26.821609796264283</v>
      </c>
      <c r="CS166" s="409">
        <v>0</v>
      </c>
      <c r="CT166" s="409">
        <v>0</v>
      </c>
      <c r="CU166" s="409">
        <v>0</v>
      </c>
      <c r="CV166" s="409">
        <v>0</v>
      </c>
      <c r="CW166" s="409">
        <v>0</v>
      </c>
      <c r="CX166" s="409">
        <v>0</v>
      </c>
      <c r="CY166" s="409">
        <v>0</v>
      </c>
      <c r="CZ166" s="409">
        <v>5.0373544107540624</v>
      </c>
      <c r="DA166" s="409">
        <v>0</v>
      </c>
      <c r="DB166" s="409">
        <v>0</v>
      </c>
      <c r="DC166" s="409">
        <v>23.96974209909331</v>
      </c>
      <c r="DD166" s="409">
        <v>0</v>
      </c>
      <c r="DE166" s="409">
        <v>0</v>
      </c>
      <c r="DF166" s="409">
        <v>0</v>
      </c>
      <c r="DG166" s="409">
        <v>3.2518746377475907</v>
      </c>
      <c r="DH166" s="409">
        <v>0</v>
      </c>
      <c r="DI166" s="409">
        <v>-0.39013626560917203</v>
      </c>
      <c r="DJ166" s="409"/>
      <c r="DK166" s="409">
        <v>0</v>
      </c>
      <c r="DL166" s="409">
        <v>0</v>
      </c>
      <c r="DM166" s="409">
        <v>0</v>
      </c>
      <c r="DN166" s="409">
        <v>0</v>
      </c>
      <c r="DO166" s="409">
        <v>-0.1225018711728687</v>
      </c>
      <c r="DP166" s="409">
        <v>-0.21741218190591027</v>
      </c>
      <c r="DQ166" s="409">
        <v>0</v>
      </c>
      <c r="DR166" s="409">
        <v>-4.7073110326428038</v>
      </c>
      <c r="DS166" s="409"/>
      <c r="DT166" s="409"/>
      <c r="DU166" s="409"/>
      <c r="DV166" s="409">
        <v>470.11445941509737</v>
      </c>
      <c r="DW166" s="409">
        <v>0</v>
      </c>
      <c r="DX166" s="409">
        <v>0</v>
      </c>
      <c r="DY166" s="409">
        <v>-99.136939999999868</v>
      </c>
      <c r="DZ166" s="409">
        <v>18.200349999999958</v>
      </c>
      <c r="EA166" s="409">
        <v>0</v>
      </c>
      <c r="EB166" s="409">
        <v>0</v>
      </c>
      <c r="EC166" s="409">
        <v>-107.76128857636854</v>
      </c>
      <c r="ED166" s="409">
        <v>0</v>
      </c>
      <c r="EE166" s="409">
        <v>0</v>
      </c>
      <c r="EF166" s="409">
        <v>0</v>
      </c>
      <c r="EG166" s="409">
        <v>0</v>
      </c>
      <c r="EH166" s="409">
        <v>0</v>
      </c>
      <c r="EI166" s="409">
        <v>0</v>
      </c>
      <c r="EJ166" s="409">
        <v>0</v>
      </c>
      <c r="EK166" s="409">
        <v>0</v>
      </c>
      <c r="EL166" s="409">
        <v>0</v>
      </c>
      <c r="EM166" s="409">
        <v>0</v>
      </c>
      <c r="EN166" s="409">
        <v>0</v>
      </c>
      <c r="EO166" s="409">
        <v>0</v>
      </c>
      <c r="EP166" s="409">
        <v>0</v>
      </c>
      <c r="EQ166" s="409">
        <v>0</v>
      </c>
      <c r="ER166" s="409">
        <v>0</v>
      </c>
      <c r="ES166" s="409">
        <v>0</v>
      </c>
      <c r="ET166" s="409">
        <v>0</v>
      </c>
      <c r="EU166" s="409">
        <v>0</v>
      </c>
      <c r="EV166" s="409">
        <v>254</v>
      </c>
      <c r="EW166" s="409">
        <v>0</v>
      </c>
      <c r="EX166" s="409">
        <v>0</v>
      </c>
      <c r="EY166" s="409">
        <v>0</v>
      </c>
      <c r="EZ166" s="409"/>
      <c r="FA166" s="409">
        <v>0</v>
      </c>
      <c r="FB166" s="409"/>
      <c r="FC166" s="409"/>
      <c r="FD166" s="409"/>
      <c r="FE166" s="409"/>
      <c r="FF166" s="409">
        <v>0</v>
      </c>
      <c r="FG166" s="409">
        <v>0</v>
      </c>
      <c r="FH166" s="409">
        <v>0</v>
      </c>
      <c r="FI166" s="409">
        <v>0</v>
      </c>
    </row>
    <row r="167" spans="1:165">
      <c r="A167" s="409">
        <v>165</v>
      </c>
      <c r="B167" s="409" t="s">
        <v>1035</v>
      </c>
      <c r="C167" s="409" t="s">
        <v>2252</v>
      </c>
      <c r="D167" s="409" t="s">
        <v>2254</v>
      </c>
      <c r="E167" s="409" t="s">
        <v>973</v>
      </c>
      <c r="F167" s="409" t="s">
        <v>1323</v>
      </c>
      <c r="G167" s="409" t="s">
        <v>1323</v>
      </c>
      <c r="H167" s="409" t="s">
        <v>1323</v>
      </c>
      <c r="I167" s="409" t="s">
        <v>1323</v>
      </c>
      <c r="J167" s="409" t="s">
        <v>2245</v>
      </c>
      <c r="K167" s="835">
        <v>44470</v>
      </c>
      <c r="L167" s="409">
        <v>0</v>
      </c>
      <c r="M167" s="409">
        <v>0</v>
      </c>
      <c r="N167" s="409">
        <v>8.8999999999999996E-2</v>
      </c>
      <c r="O167" s="409">
        <v>8.8999999999999996E-2</v>
      </c>
      <c r="P167" s="409">
        <v>8.8999999999999996E-2</v>
      </c>
      <c r="Q167" s="409">
        <v>8.8999999999999996E-2</v>
      </c>
      <c r="R167" s="409"/>
      <c r="S167" s="409">
        <v>597.01</v>
      </c>
      <c r="T167" s="409">
        <v>243.39</v>
      </c>
      <c r="U167" s="409"/>
      <c r="V167" s="409">
        <v>74.795599999999993</v>
      </c>
      <c r="W167" s="409">
        <v>74.795599999999993</v>
      </c>
      <c r="X167" s="409">
        <v>67.753919999999994</v>
      </c>
      <c r="Y167" s="409">
        <v>0</v>
      </c>
      <c r="Z167" s="409">
        <v>2.2146294944025864</v>
      </c>
      <c r="AA167" s="409">
        <v>0</v>
      </c>
      <c r="AB167" s="409">
        <v>0</v>
      </c>
      <c r="AC167" s="409">
        <v>0</v>
      </c>
      <c r="AD167" s="409">
        <v>10.429826839271666</v>
      </c>
      <c r="AE167" s="409">
        <v>36.493428703893827</v>
      </c>
      <c r="AF167" s="409">
        <v>21.66146478731196</v>
      </c>
      <c r="AG167" s="409">
        <v>0</v>
      </c>
      <c r="AH167" s="409">
        <v>0</v>
      </c>
      <c r="AI167" s="409">
        <v>0</v>
      </c>
      <c r="AJ167" s="409">
        <v>0</v>
      </c>
      <c r="AK167" s="409">
        <v>0</v>
      </c>
      <c r="AL167" s="409">
        <v>0.90415908346175689</v>
      </c>
      <c r="AM167" s="409"/>
      <c r="AN167" s="409">
        <v>0.15280155639399079</v>
      </c>
      <c r="AO167" s="409">
        <v>0</v>
      </c>
      <c r="AP167" s="409">
        <v>0</v>
      </c>
      <c r="AQ167" s="409">
        <v>0</v>
      </c>
      <c r="AR167" s="409">
        <v>0</v>
      </c>
      <c r="AS167" s="409">
        <v>0</v>
      </c>
      <c r="AT167" s="409">
        <v>0</v>
      </c>
      <c r="AU167" s="409">
        <v>0</v>
      </c>
      <c r="AV167" s="409">
        <v>0</v>
      </c>
      <c r="AW167" s="409">
        <v>0</v>
      </c>
      <c r="AX167" s="409">
        <v>0</v>
      </c>
      <c r="AY167" s="409">
        <v>0</v>
      </c>
      <c r="AZ167" s="409">
        <v>0</v>
      </c>
      <c r="BA167" s="409"/>
      <c r="BB167" s="409">
        <v>0</v>
      </c>
      <c r="BC167" s="409">
        <v>0</v>
      </c>
      <c r="BD167" s="409">
        <v>0</v>
      </c>
      <c r="BE167" s="409">
        <v>0</v>
      </c>
      <c r="BF167" s="409">
        <v>0</v>
      </c>
      <c r="BG167" s="409">
        <v>2.9387203110952784</v>
      </c>
      <c r="BH167" s="409">
        <v>0</v>
      </c>
      <c r="BI167" s="409">
        <v>2.13</v>
      </c>
      <c r="BJ167" s="409">
        <v>9.81</v>
      </c>
      <c r="BK167" s="409">
        <v>0</v>
      </c>
      <c r="BL167" s="409">
        <v>6</v>
      </c>
      <c r="BM167" s="409"/>
      <c r="BN167" s="409"/>
      <c r="BO167" s="409"/>
      <c r="BP167" s="409"/>
      <c r="BQ167" s="409"/>
      <c r="BR167" s="409">
        <v>8.1310399999999987</v>
      </c>
      <c r="BS167" s="409"/>
      <c r="BT167" s="409"/>
      <c r="BU167" s="409"/>
      <c r="BV167" s="409">
        <v>24.600185098407238</v>
      </c>
      <c r="BW167" s="409"/>
      <c r="BX167" s="409"/>
      <c r="BY167" s="409"/>
      <c r="BZ167" s="409"/>
      <c r="CA167" s="409"/>
      <c r="CB167" s="409"/>
      <c r="CC167" s="409"/>
      <c r="CD167" s="409"/>
      <c r="CE167" s="409"/>
      <c r="CF167" s="409"/>
      <c r="CG167" s="409"/>
      <c r="CH167" s="409"/>
      <c r="CI167" s="409">
        <v>60.2928</v>
      </c>
      <c r="CJ167" s="409">
        <v>-5.5571499999999929</v>
      </c>
      <c r="CK167" s="409"/>
      <c r="CL167" s="409"/>
      <c r="CM167" s="409"/>
      <c r="CN167" s="409"/>
      <c r="CO167" s="409">
        <v>-7.7946199999999983</v>
      </c>
      <c r="CP167" s="409">
        <v>0.75294000000000072</v>
      </c>
      <c r="CQ167" s="409">
        <v>31</v>
      </c>
      <c r="CR167" s="409">
        <v>1.3237702479658751</v>
      </c>
      <c r="CS167" s="409">
        <v>0</v>
      </c>
      <c r="CT167" s="409">
        <v>0</v>
      </c>
      <c r="CU167" s="409">
        <v>0</v>
      </c>
      <c r="CV167" s="409">
        <v>0</v>
      </c>
      <c r="CW167" s="409">
        <v>0</v>
      </c>
      <c r="CX167" s="409">
        <v>0</v>
      </c>
      <c r="CY167" s="409">
        <v>0</v>
      </c>
      <c r="CZ167" s="409">
        <v>0.3910206563217411</v>
      </c>
      <c r="DA167" s="409">
        <v>0</v>
      </c>
      <c r="DB167" s="409">
        <v>0</v>
      </c>
      <c r="DC167" s="409">
        <v>0.9923096820318591</v>
      </c>
      <c r="DD167" s="409">
        <v>0</v>
      </c>
      <c r="DE167" s="409">
        <v>0</v>
      </c>
      <c r="DF167" s="409">
        <v>0</v>
      </c>
      <c r="DG167" s="409">
        <v>0.13462250342329085</v>
      </c>
      <c r="DH167" s="409">
        <v>0</v>
      </c>
      <c r="DI167" s="409">
        <v>-1.6151028745962304E-2</v>
      </c>
      <c r="DJ167" s="409"/>
      <c r="DK167" s="409">
        <v>0</v>
      </c>
      <c r="DL167" s="409">
        <v>0</v>
      </c>
      <c r="DM167" s="409">
        <v>0</v>
      </c>
      <c r="DN167" s="409">
        <v>0</v>
      </c>
      <c r="DO167" s="409">
        <v>-5.0713850958187257E-3</v>
      </c>
      <c r="DP167" s="409">
        <v>-9.000522917810061E-3</v>
      </c>
      <c r="DQ167" s="409">
        <v>0</v>
      </c>
      <c r="DR167" s="409">
        <v>-0.16395965705142046</v>
      </c>
      <c r="DS167" s="409"/>
      <c r="DT167" s="409"/>
      <c r="DU167" s="409"/>
      <c r="DV167" s="409">
        <v>36.493428703893827</v>
      </c>
      <c r="DW167" s="409">
        <v>0</v>
      </c>
      <c r="DX167" s="409">
        <v>0</v>
      </c>
      <c r="DY167" s="409">
        <v>-7.7946199999999948</v>
      </c>
      <c r="DZ167" s="409">
        <v>0.75293999999999883</v>
      </c>
      <c r="EA167" s="409">
        <v>0</v>
      </c>
      <c r="EB167" s="409">
        <v>0</v>
      </c>
      <c r="EC167" s="409">
        <v>-8.365151981486008</v>
      </c>
      <c r="ED167" s="409">
        <v>0</v>
      </c>
      <c r="EE167" s="409">
        <v>0</v>
      </c>
      <c r="EF167" s="409">
        <v>0</v>
      </c>
      <c r="EG167" s="409">
        <v>0</v>
      </c>
      <c r="EH167" s="409">
        <v>0</v>
      </c>
      <c r="EI167" s="409">
        <v>0</v>
      </c>
      <c r="EJ167" s="409">
        <v>0</v>
      </c>
      <c r="EK167" s="409">
        <v>0</v>
      </c>
      <c r="EL167" s="409">
        <v>0</v>
      </c>
      <c r="EM167" s="409">
        <v>0</v>
      </c>
      <c r="EN167" s="409">
        <v>0</v>
      </c>
      <c r="EO167" s="409">
        <v>0</v>
      </c>
      <c r="EP167" s="409">
        <v>0</v>
      </c>
      <c r="EQ167" s="409">
        <v>0</v>
      </c>
      <c r="ER167" s="409">
        <v>0</v>
      </c>
      <c r="ES167" s="409">
        <v>0</v>
      </c>
      <c r="ET167" s="409">
        <v>0</v>
      </c>
      <c r="EU167" s="409">
        <v>0</v>
      </c>
      <c r="EV167" s="409">
        <v>254</v>
      </c>
      <c r="EW167" s="409">
        <v>0</v>
      </c>
      <c r="EX167" s="409">
        <v>0</v>
      </c>
      <c r="EY167" s="409">
        <v>0</v>
      </c>
      <c r="EZ167" s="409"/>
      <c r="FA167" s="409">
        <v>0</v>
      </c>
      <c r="FB167" s="409"/>
      <c r="FC167" s="409"/>
      <c r="FD167" s="409"/>
      <c r="FE167" s="409"/>
      <c r="FF167" s="409">
        <v>0</v>
      </c>
      <c r="FG167" s="409">
        <v>0</v>
      </c>
      <c r="FH167" s="409">
        <v>0</v>
      </c>
      <c r="FI167" s="409">
        <v>0</v>
      </c>
    </row>
    <row r="168" spans="1:165">
      <c r="A168" s="409">
        <v>166</v>
      </c>
      <c r="B168" s="409" t="s">
        <v>1035</v>
      </c>
      <c r="C168" s="409" t="s">
        <v>2252</v>
      </c>
      <c r="D168" s="409" t="s">
        <v>2254</v>
      </c>
      <c r="E168" s="409" t="s">
        <v>973</v>
      </c>
      <c r="F168" s="409" t="s">
        <v>1323</v>
      </c>
      <c r="G168" s="409" t="s">
        <v>1323</v>
      </c>
      <c r="H168" s="409" t="s">
        <v>1323</v>
      </c>
      <c r="I168" s="409" t="s">
        <v>2253</v>
      </c>
      <c r="J168" s="409" t="s">
        <v>2245</v>
      </c>
      <c r="K168" s="835">
        <v>44470</v>
      </c>
      <c r="L168" s="409">
        <v>0</v>
      </c>
      <c r="M168" s="409">
        <v>0</v>
      </c>
      <c r="N168" s="409">
        <v>3.9E-2</v>
      </c>
      <c r="O168" s="409">
        <v>3.9E-2</v>
      </c>
      <c r="P168" s="409">
        <v>3.9E-2</v>
      </c>
      <c r="Q168" s="409">
        <v>3.9E-2</v>
      </c>
      <c r="R168" s="409"/>
      <c r="S168" s="409">
        <v>803.7</v>
      </c>
      <c r="T168" s="409">
        <v>214.18</v>
      </c>
      <c r="U168" s="409"/>
      <c r="V168" s="409">
        <v>39.697320000000005</v>
      </c>
      <c r="W168" s="409">
        <v>39.697320000000005</v>
      </c>
      <c r="X168" s="409">
        <v>35.152650000000001</v>
      </c>
      <c r="Y168" s="409">
        <v>0</v>
      </c>
      <c r="Z168" s="409">
        <v>0.85400094660558212</v>
      </c>
      <c r="AA168" s="409">
        <v>0</v>
      </c>
      <c r="AB168" s="409">
        <v>0</v>
      </c>
      <c r="AC168" s="409">
        <v>0</v>
      </c>
      <c r="AD168" s="409">
        <v>6.4347525910391878</v>
      </c>
      <c r="AE168" s="409">
        <v>22.514672363232467</v>
      </c>
      <c r="AF168" s="409">
        <v>8.3530502415791723</v>
      </c>
      <c r="AG168" s="409">
        <v>0</v>
      </c>
      <c r="AH168" s="409">
        <v>0</v>
      </c>
      <c r="AI168" s="409">
        <v>0</v>
      </c>
      <c r="AJ168" s="409">
        <v>0</v>
      </c>
      <c r="AK168" s="409">
        <v>0</v>
      </c>
      <c r="AL168" s="409">
        <v>0.3486599971281738</v>
      </c>
      <c r="AM168" s="409"/>
      <c r="AN168" s="409">
        <v>5.8923027139795262E-2</v>
      </c>
      <c r="AO168" s="409">
        <v>0</v>
      </c>
      <c r="AP168" s="409">
        <v>0</v>
      </c>
      <c r="AQ168" s="409">
        <v>0</v>
      </c>
      <c r="AR168" s="409">
        <v>0</v>
      </c>
      <c r="AS168" s="409">
        <v>0</v>
      </c>
      <c r="AT168" s="409">
        <v>0</v>
      </c>
      <c r="AU168" s="409">
        <v>0</v>
      </c>
      <c r="AV168" s="409">
        <v>0</v>
      </c>
      <c r="AW168" s="409">
        <v>0</v>
      </c>
      <c r="AX168" s="409">
        <v>0</v>
      </c>
      <c r="AY168" s="409">
        <v>0</v>
      </c>
      <c r="AZ168" s="409">
        <v>0</v>
      </c>
      <c r="BA168" s="409"/>
      <c r="BB168" s="409">
        <v>0</v>
      </c>
      <c r="BC168" s="409">
        <v>0</v>
      </c>
      <c r="BD168" s="409">
        <v>0</v>
      </c>
      <c r="BE168" s="409">
        <v>0</v>
      </c>
      <c r="BF168" s="409">
        <v>0</v>
      </c>
      <c r="BG168" s="409">
        <v>1.1332233828852807</v>
      </c>
      <c r="BH168" s="409">
        <v>0</v>
      </c>
      <c r="BI168" s="409">
        <v>0</v>
      </c>
      <c r="BJ168" s="409">
        <v>0</v>
      </c>
      <c r="BK168" s="409">
        <v>0</v>
      </c>
      <c r="BL168" s="409">
        <v>0</v>
      </c>
      <c r="BM168" s="409"/>
      <c r="BN168" s="409"/>
      <c r="BO168" s="409"/>
      <c r="BP168" s="409"/>
      <c r="BQ168" s="409"/>
      <c r="BR168" s="409"/>
      <c r="BS168" s="409"/>
      <c r="BT168" s="409"/>
      <c r="BU168" s="409"/>
      <c r="BV168" s="409">
        <v>9.4862736244644523</v>
      </c>
      <c r="BW168" s="409"/>
      <c r="BX168" s="409"/>
      <c r="BY168" s="409"/>
      <c r="BZ168" s="409"/>
      <c r="CA168" s="409"/>
      <c r="CB168" s="409"/>
      <c r="CC168" s="409"/>
      <c r="CD168" s="409"/>
      <c r="CE168" s="409"/>
      <c r="CF168" s="409"/>
      <c r="CG168" s="409"/>
      <c r="CH168" s="409"/>
      <c r="CI168" s="409">
        <v>36.054000000000002</v>
      </c>
      <c r="CJ168" s="409">
        <v>-3.6733199999999968</v>
      </c>
      <c r="CK168" s="409"/>
      <c r="CL168" s="409"/>
      <c r="CM168" s="409"/>
      <c r="CN168" s="409"/>
      <c r="CO168" s="409">
        <v>-4.8352200000000005</v>
      </c>
      <c r="CP168" s="409">
        <v>0.29054999999999953</v>
      </c>
      <c r="CQ168" s="409">
        <v>31</v>
      </c>
      <c r="CR168" s="409">
        <v>0.6162523472331749</v>
      </c>
      <c r="CS168" s="409">
        <v>0</v>
      </c>
      <c r="CT168" s="409">
        <v>0</v>
      </c>
      <c r="CU168" s="409">
        <v>0</v>
      </c>
      <c r="CV168" s="409">
        <v>0</v>
      </c>
      <c r="CW168" s="409">
        <v>0</v>
      </c>
      <c r="CX168" s="409">
        <v>0</v>
      </c>
      <c r="CY168" s="409">
        <v>0</v>
      </c>
      <c r="CZ168" s="409">
        <v>0.24124285284793245</v>
      </c>
      <c r="DA168" s="409">
        <v>0</v>
      </c>
      <c r="DB168" s="409">
        <v>0</v>
      </c>
      <c r="DC168" s="409">
        <v>0.3826524526666546</v>
      </c>
      <c r="DD168" s="409">
        <v>0</v>
      </c>
      <c r="DE168" s="409">
        <v>0</v>
      </c>
      <c r="DF168" s="409">
        <v>0</v>
      </c>
      <c r="DG168" s="409">
        <v>5.19128574998593E-2</v>
      </c>
      <c r="DH168" s="409">
        <v>0</v>
      </c>
      <c r="DI168" s="409">
        <v>-6.2281270400154076E-3</v>
      </c>
      <c r="DJ168" s="409"/>
      <c r="DK168" s="409">
        <v>0</v>
      </c>
      <c r="DL168" s="409">
        <v>0</v>
      </c>
      <c r="DM168" s="409">
        <v>0</v>
      </c>
      <c r="DN168" s="409">
        <v>0</v>
      </c>
      <c r="DO168" s="409">
        <v>-1.9556172639139668E-3</v>
      </c>
      <c r="DP168" s="409">
        <v>-3.4707634442613586E-3</v>
      </c>
      <c r="DQ168" s="409">
        <v>0</v>
      </c>
      <c r="DR168" s="409">
        <v>-4.7901308033081492E-2</v>
      </c>
      <c r="DS168" s="409"/>
      <c r="DT168" s="409"/>
      <c r="DU168" s="409"/>
      <c r="DV168" s="409">
        <v>22.514672363232467</v>
      </c>
      <c r="DW168" s="409">
        <v>0</v>
      </c>
      <c r="DX168" s="409">
        <v>0</v>
      </c>
      <c r="DY168" s="409">
        <v>-4.8352199999999996</v>
      </c>
      <c r="DZ168" s="409">
        <v>0.29054999999999964</v>
      </c>
      <c r="EA168" s="409">
        <v>0</v>
      </c>
      <c r="EB168" s="409">
        <v>0</v>
      </c>
      <c r="EC168" s="409">
        <v>-5.1608923255738688</v>
      </c>
      <c r="ED168" s="409">
        <v>0</v>
      </c>
      <c r="EE168" s="409">
        <v>0</v>
      </c>
      <c r="EF168" s="409">
        <v>0</v>
      </c>
      <c r="EG168" s="409">
        <v>0</v>
      </c>
      <c r="EH168" s="409">
        <v>0</v>
      </c>
      <c r="EI168" s="409">
        <v>0</v>
      </c>
      <c r="EJ168" s="409">
        <v>0</v>
      </c>
      <c r="EK168" s="409">
        <v>0</v>
      </c>
      <c r="EL168" s="409">
        <v>0</v>
      </c>
      <c r="EM168" s="409">
        <v>0</v>
      </c>
      <c r="EN168" s="409">
        <v>0</v>
      </c>
      <c r="EO168" s="409">
        <v>0</v>
      </c>
      <c r="EP168" s="409">
        <v>0</v>
      </c>
      <c r="EQ168" s="409">
        <v>0</v>
      </c>
      <c r="ER168" s="409">
        <v>0</v>
      </c>
      <c r="ES168" s="409">
        <v>0</v>
      </c>
      <c r="ET168" s="409">
        <v>0</v>
      </c>
      <c r="EU168" s="409">
        <v>0</v>
      </c>
      <c r="EV168" s="409">
        <v>254</v>
      </c>
      <c r="EW168" s="409">
        <v>0</v>
      </c>
      <c r="EX168" s="409">
        <v>0</v>
      </c>
      <c r="EY168" s="409">
        <v>0</v>
      </c>
      <c r="EZ168" s="409"/>
      <c r="FA168" s="409">
        <v>0</v>
      </c>
      <c r="FB168" s="409"/>
      <c r="FC168" s="409"/>
      <c r="FD168" s="409"/>
      <c r="FE168" s="409"/>
      <c r="FF168" s="409">
        <v>0</v>
      </c>
      <c r="FG168" s="409">
        <v>0</v>
      </c>
      <c r="FH168" s="409">
        <v>0</v>
      </c>
      <c r="FI168" s="409">
        <v>0</v>
      </c>
    </row>
    <row r="169" spans="1:165">
      <c r="A169" s="409">
        <v>167</v>
      </c>
      <c r="B169" s="409" t="s">
        <v>1035</v>
      </c>
      <c r="C169" s="409" t="s">
        <v>2244</v>
      </c>
      <c r="D169" s="409" t="s">
        <v>1994</v>
      </c>
      <c r="E169" s="409" t="s">
        <v>2255</v>
      </c>
      <c r="F169" s="409" t="s">
        <v>1323</v>
      </c>
      <c r="G169" s="409" t="s">
        <v>1323</v>
      </c>
      <c r="H169" s="409" t="s">
        <v>1323</v>
      </c>
      <c r="I169" s="409" t="s">
        <v>1323</v>
      </c>
      <c r="J169" s="409" t="s">
        <v>2245</v>
      </c>
      <c r="K169" s="835">
        <v>44470</v>
      </c>
      <c r="L169" s="409">
        <v>0</v>
      </c>
      <c r="M169" s="409">
        <v>0</v>
      </c>
      <c r="N169" s="409">
        <v>13.925000000000001</v>
      </c>
      <c r="O169" s="409">
        <v>13.925000000000001</v>
      </c>
      <c r="P169" s="409">
        <v>13.925000000000001</v>
      </c>
      <c r="Q169" s="409">
        <v>13.925000000000001</v>
      </c>
      <c r="R169" s="409"/>
      <c r="S169" s="409">
        <v>597.01</v>
      </c>
      <c r="T169" s="409">
        <v>243.39</v>
      </c>
      <c r="U169" s="409"/>
      <c r="V169" s="409">
        <v>11702.57</v>
      </c>
      <c r="W169" s="409">
        <v>11702.57</v>
      </c>
      <c r="X169" s="409">
        <v>10600.824000000001</v>
      </c>
      <c r="Y169" s="409">
        <v>0</v>
      </c>
      <c r="Z169" s="409">
        <v>346.50242370287663</v>
      </c>
      <c r="AA169" s="409">
        <v>0</v>
      </c>
      <c r="AB169" s="409">
        <v>0</v>
      </c>
      <c r="AC169" s="409">
        <v>0</v>
      </c>
      <c r="AD169" s="409">
        <v>1631.8577386163815</v>
      </c>
      <c r="AE169" s="409">
        <v>5709.7864573227143</v>
      </c>
      <c r="AF169" s="409">
        <v>3389.1673838575175</v>
      </c>
      <c r="AG169" s="409">
        <v>0</v>
      </c>
      <c r="AH169" s="409">
        <v>0</v>
      </c>
      <c r="AI169" s="409">
        <v>0</v>
      </c>
      <c r="AJ169" s="409">
        <v>0</v>
      </c>
      <c r="AK169" s="409">
        <v>0</v>
      </c>
      <c r="AL169" s="409">
        <v>141.46533974387603</v>
      </c>
      <c r="AM169" s="409"/>
      <c r="AN169" s="409">
        <v>23.907434525689009</v>
      </c>
      <c r="AO169" s="409">
        <v>0</v>
      </c>
      <c r="AP169" s="409">
        <v>0</v>
      </c>
      <c r="AQ169" s="409">
        <v>0</v>
      </c>
      <c r="AR169" s="409">
        <v>0</v>
      </c>
      <c r="AS169" s="409">
        <v>0</v>
      </c>
      <c r="AT169" s="409">
        <v>0</v>
      </c>
      <c r="AU169" s="409">
        <v>0</v>
      </c>
      <c r="AV169" s="409">
        <v>0</v>
      </c>
      <c r="AW169" s="409">
        <v>0</v>
      </c>
      <c r="AX169" s="409">
        <v>0</v>
      </c>
      <c r="AY169" s="409">
        <v>0</v>
      </c>
      <c r="AZ169" s="409">
        <v>0</v>
      </c>
      <c r="BA169" s="409"/>
      <c r="BB169" s="409">
        <v>0</v>
      </c>
      <c r="BC169" s="409">
        <v>0</v>
      </c>
      <c r="BD169" s="409">
        <v>0</v>
      </c>
      <c r="BE169" s="409">
        <v>0</v>
      </c>
      <c r="BF169" s="409">
        <v>0</v>
      </c>
      <c r="BG169" s="409">
        <v>459.79416103372762</v>
      </c>
      <c r="BH169" s="409">
        <v>0</v>
      </c>
      <c r="BI169" s="409">
        <v>19.170000000000002</v>
      </c>
      <c r="BJ169" s="409">
        <v>88.51</v>
      </c>
      <c r="BK169" s="409">
        <v>1154.83</v>
      </c>
      <c r="BL169" s="409">
        <v>30</v>
      </c>
      <c r="BM169" s="409"/>
      <c r="BN169" s="409"/>
      <c r="BO169" s="409"/>
      <c r="BP169" s="409"/>
      <c r="BQ169" s="409"/>
      <c r="BR169" s="409"/>
      <c r="BS169" s="409"/>
      <c r="BT169" s="409"/>
      <c r="BU169" s="409"/>
      <c r="BV169" s="409">
        <v>3848.961544891245</v>
      </c>
      <c r="BW169" s="409"/>
      <c r="BX169" s="409"/>
      <c r="BY169" s="409"/>
      <c r="BZ169" s="409"/>
      <c r="CA169" s="409"/>
      <c r="CB169" s="409"/>
      <c r="CC169" s="409"/>
      <c r="CD169" s="409"/>
      <c r="CE169" s="409"/>
      <c r="CF169" s="409"/>
      <c r="CG169" s="409"/>
      <c r="CH169" s="409"/>
      <c r="CI169" s="409">
        <v>10604.6304</v>
      </c>
      <c r="CJ169" s="409">
        <v>-1097.9696000000004</v>
      </c>
      <c r="CK169" s="409"/>
      <c r="CL169" s="409"/>
      <c r="CM169" s="409"/>
      <c r="CN169" s="409"/>
      <c r="CO169" s="409">
        <v>-1219.5514999999998</v>
      </c>
      <c r="CP169" s="409">
        <v>117.80550000000012</v>
      </c>
      <c r="CQ169" s="409">
        <v>31</v>
      </c>
      <c r="CR169" s="409">
        <v>207.1179854261236</v>
      </c>
      <c r="CS169" s="409">
        <v>0</v>
      </c>
      <c r="CT169" s="409">
        <v>0</v>
      </c>
      <c r="CU169" s="409">
        <v>0</v>
      </c>
      <c r="CV169" s="409">
        <v>0</v>
      </c>
      <c r="CW169" s="409">
        <v>0</v>
      </c>
      <c r="CX169" s="409">
        <v>0</v>
      </c>
      <c r="CY169" s="409">
        <v>0</v>
      </c>
      <c r="CZ169" s="409">
        <v>61.179355497530878</v>
      </c>
      <c r="DA169" s="409">
        <v>0</v>
      </c>
      <c r="DB169" s="409">
        <v>0</v>
      </c>
      <c r="DC169" s="409">
        <v>155.257441823524</v>
      </c>
      <c r="DD169" s="409">
        <v>0</v>
      </c>
      <c r="DE169" s="409">
        <v>0</v>
      </c>
      <c r="DF169" s="409">
        <v>0</v>
      </c>
      <c r="DG169" s="409">
        <v>21.063127642351958</v>
      </c>
      <c r="DH169" s="409">
        <v>0</v>
      </c>
      <c r="DI169" s="409">
        <v>-2.5270008459272617</v>
      </c>
      <c r="DJ169" s="409"/>
      <c r="DK169" s="409">
        <v>0</v>
      </c>
      <c r="DL169" s="409">
        <v>0</v>
      </c>
      <c r="DM169" s="409">
        <v>0</v>
      </c>
      <c r="DN169" s="409">
        <v>0</v>
      </c>
      <c r="DO169" s="409">
        <v>-0.79347233100310177</v>
      </c>
      <c r="DP169" s="409">
        <v>-1.40822788348882</v>
      </c>
      <c r="DQ169" s="409">
        <v>0</v>
      </c>
      <c r="DR169" s="409">
        <v>-25.653238476865504</v>
      </c>
      <c r="DS169" s="409"/>
      <c r="DT169" s="409"/>
      <c r="DU169" s="409"/>
      <c r="DV169" s="409">
        <v>5709.7864573227143</v>
      </c>
      <c r="DW169" s="409">
        <v>0</v>
      </c>
      <c r="DX169" s="409">
        <v>0</v>
      </c>
      <c r="DY169" s="409">
        <v>-1219.5515000000005</v>
      </c>
      <c r="DZ169" s="409">
        <v>117.80549999999994</v>
      </c>
      <c r="EA169" s="409">
        <v>0</v>
      </c>
      <c r="EB169" s="409">
        <v>0</v>
      </c>
      <c r="EC169" s="409">
        <v>-1308.8173184516027</v>
      </c>
      <c r="ED169" s="409">
        <v>0</v>
      </c>
      <c r="EE169" s="409">
        <v>0</v>
      </c>
      <c r="EF169" s="409">
        <v>0</v>
      </c>
      <c r="EG169" s="409">
        <v>0</v>
      </c>
      <c r="EH169" s="409">
        <v>0</v>
      </c>
      <c r="EI169" s="409">
        <v>0</v>
      </c>
      <c r="EJ169" s="409">
        <v>0</v>
      </c>
      <c r="EK169" s="409">
        <v>0</v>
      </c>
      <c r="EL169" s="409">
        <v>0</v>
      </c>
      <c r="EM169" s="409">
        <v>0</v>
      </c>
      <c r="EN169" s="409">
        <v>0</v>
      </c>
      <c r="EO169" s="409">
        <v>0</v>
      </c>
      <c r="EP169" s="409">
        <v>0</v>
      </c>
      <c r="EQ169" s="409">
        <v>0</v>
      </c>
      <c r="ER169" s="409">
        <v>0</v>
      </c>
      <c r="ES169" s="409">
        <v>0</v>
      </c>
      <c r="ET169" s="409">
        <v>0</v>
      </c>
      <c r="EU169" s="409">
        <v>0</v>
      </c>
      <c r="EV169" s="409">
        <v>254</v>
      </c>
      <c r="EW169" s="409">
        <v>0</v>
      </c>
      <c r="EX169" s="409">
        <v>0</v>
      </c>
      <c r="EY169" s="409">
        <v>0</v>
      </c>
      <c r="EZ169" s="409"/>
      <c r="FA169" s="409">
        <v>0</v>
      </c>
      <c r="FB169" s="409"/>
      <c r="FC169" s="409"/>
      <c r="FD169" s="409"/>
      <c r="FE169" s="409"/>
      <c r="FF169" s="409">
        <v>0</v>
      </c>
      <c r="FG169" s="409">
        <v>0</v>
      </c>
      <c r="FH169" s="409">
        <v>0</v>
      </c>
      <c r="FI169" s="409">
        <v>0</v>
      </c>
    </row>
    <row r="170" spans="1:165">
      <c r="A170" s="409">
        <v>168</v>
      </c>
      <c r="B170" s="409" t="s">
        <v>1035</v>
      </c>
      <c r="C170" s="409" t="s">
        <v>2244</v>
      </c>
      <c r="D170" s="409" t="s">
        <v>2256</v>
      </c>
      <c r="E170" s="409" t="s">
        <v>2257</v>
      </c>
      <c r="F170" s="409" t="s">
        <v>2258</v>
      </c>
      <c r="G170" s="409" t="s">
        <v>1323</v>
      </c>
      <c r="H170" s="409" t="s">
        <v>1323</v>
      </c>
      <c r="I170" s="409" t="s">
        <v>1323</v>
      </c>
      <c r="J170" s="409" t="s">
        <v>2245</v>
      </c>
      <c r="K170" s="835">
        <v>44470</v>
      </c>
      <c r="L170" s="409">
        <v>0</v>
      </c>
      <c r="M170" s="409">
        <v>0</v>
      </c>
      <c r="N170" s="409">
        <v>129.19499999999999</v>
      </c>
      <c r="O170" s="409">
        <v>129.19499999999999</v>
      </c>
      <c r="P170" s="409">
        <v>129.19499999999999</v>
      </c>
      <c r="Q170" s="409">
        <v>129.19499999999999</v>
      </c>
      <c r="R170" s="409"/>
      <c r="S170" s="409">
        <v>328.35</v>
      </c>
      <c r="T170" s="409">
        <v>133.86000000000001</v>
      </c>
      <c r="U170" s="409"/>
      <c r="V170" s="409">
        <v>59715.220950000003</v>
      </c>
      <c r="W170" s="409">
        <v>59715.220950000003</v>
      </c>
      <c r="X170" s="409">
        <v>54093.946500000005</v>
      </c>
      <c r="Y170" s="409">
        <v>0</v>
      </c>
      <c r="Z170" s="409">
        <v>1768.1514791139148</v>
      </c>
      <c r="AA170" s="409">
        <v>0</v>
      </c>
      <c r="AB170" s="409">
        <v>0</v>
      </c>
      <c r="AC170" s="409">
        <v>0</v>
      </c>
      <c r="AD170" s="409">
        <v>8327.1327323015339</v>
      </c>
      <c r="AE170" s="409">
        <v>29136.209963705212</v>
      </c>
      <c r="AF170" s="409">
        <v>17294.428300654199</v>
      </c>
      <c r="AG170" s="409">
        <v>0</v>
      </c>
      <c r="AH170" s="409">
        <v>0</v>
      </c>
      <c r="AI170" s="409">
        <v>0</v>
      </c>
      <c r="AJ170" s="409">
        <v>0</v>
      </c>
      <c r="AK170" s="409">
        <v>0</v>
      </c>
      <c r="AL170" s="409">
        <v>721.87705655407785</v>
      </c>
      <c r="AM170" s="409"/>
      <c r="AN170" s="409">
        <v>121.99616171996544</v>
      </c>
      <c r="AO170" s="409">
        <v>0</v>
      </c>
      <c r="AP170" s="409">
        <v>0</v>
      </c>
      <c r="AQ170" s="409">
        <v>0</v>
      </c>
      <c r="AR170" s="409">
        <v>0</v>
      </c>
      <c r="AS170" s="409">
        <v>0</v>
      </c>
      <c r="AT170" s="409">
        <v>0</v>
      </c>
      <c r="AU170" s="409">
        <v>0</v>
      </c>
      <c r="AV170" s="409">
        <v>0</v>
      </c>
      <c r="AW170" s="409">
        <v>0</v>
      </c>
      <c r="AX170" s="409">
        <v>0</v>
      </c>
      <c r="AY170" s="409">
        <v>0</v>
      </c>
      <c r="AZ170" s="409">
        <v>0</v>
      </c>
      <c r="BA170" s="409"/>
      <c r="BB170" s="409">
        <v>0</v>
      </c>
      <c r="BC170" s="409">
        <v>0</v>
      </c>
      <c r="BD170" s="409">
        <v>0</v>
      </c>
      <c r="BE170" s="409">
        <v>0</v>
      </c>
      <c r="BF170" s="409">
        <v>0</v>
      </c>
      <c r="BG170" s="409">
        <v>2346.2627396132075</v>
      </c>
      <c r="BH170" s="409">
        <v>0</v>
      </c>
      <c r="BI170" s="409">
        <v>0</v>
      </c>
      <c r="BJ170" s="409">
        <v>0</v>
      </c>
      <c r="BK170" s="409">
        <v>0</v>
      </c>
      <c r="BL170" s="409">
        <v>5</v>
      </c>
      <c r="BM170" s="409"/>
      <c r="BN170" s="409"/>
      <c r="BO170" s="409"/>
      <c r="BP170" s="409"/>
      <c r="BQ170" s="409"/>
      <c r="BR170" s="409"/>
      <c r="BS170" s="409"/>
      <c r="BT170" s="409"/>
      <c r="BU170" s="409"/>
      <c r="BV170" s="409">
        <v>19640.691040267408</v>
      </c>
      <c r="BW170" s="409"/>
      <c r="BX170" s="409"/>
      <c r="BY170" s="409"/>
      <c r="BZ170" s="409"/>
      <c r="CA170" s="409"/>
      <c r="CB170" s="409"/>
      <c r="CC170" s="409"/>
      <c r="CD170" s="409"/>
      <c r="CE170" s="409"/>
      <c r="CF170" s="409"/>
      <c r="CG170" s="409"/>
      <c r="CH170" s="409"/>
      <c r="CI170" s="409">
        <v>54096.04</v>
      </c>
      <c r="CJ170" s="409">
        <v>-5619.2109500000079</v>
      </c>
      <c r="CK170" s="409"/>
      <c r="CL170" s="409"/>
      <c r="CM170" s="409"/>
      <c r="CN170" s="409"/>
      <c r="CO170" s="409">
        <v>-6223.323150000002</v>
      </c>
      <c r="CP170" s="409">
        <v>602.04869999999949</v>
      </c>
      <c r="CQ170" s="409">
        <v>31</v>
      </c>
      <c r="CR170" s="409">
        <v>1056.8929601378586</v>
      </c>
      <c r="CS170" s="409">
        <v>0</v>
      </c>
      <c r="CT170" s="409">
        <v>0</v>
      </c>
      <c r="CU170" s="409">
        <v>0</v>
      </c>
      <c r="CV170" s="409">
        <v>0</v>
      </c>
      <c r="CW170" s="409">
        <v>0</v>
      </c>
      <c r="CX170" s="409">
        <v>0</v>
      </c>
      <c r="CY170" s="409">
        <v>0</v>
      </c>
      <c r="CZ170" s="409">
        <v>312.18935428557597</v>
      </c>
      <c r="DA170" s="409">
        <v>0</v>
      </c>
      <c r="DB170" s="409">
        <v>0</v>
      </c>
      <c r="DC170" s="409">
        <v>792.25614779278112</v>
      </c>
      <c r="DD170" s="409">
        <v>0</v>
      </c>
      <c r="DE170" s="409">
        <v>0</v>
      </c>
      <c r="DF170" s="409">
        <v>0</v>
      </c>
      <c r="DG170" s="409">
        <v>107.48207731880575</v>
      </c>
      <c r="DH170" s="409">
        <v>0</v>
      </c>
      <c r="DI170" s="409">
        <v>-12.894917835496699</v>
      </c>
      <c r="DJ170" s="409"/>
      <c r="DK170" s="409">
        <v>0</v>
      </c>
      <c r="DL170" s="409">
        <v>0</v>
      </c>
      <c r="DM170" s="409">
        <v>0</v>
      </c>
      <c r="DN170" s="409">
        <v>0</v>
      </c>
      <c r="DO170" s="409">
        <v>-4.0489739168498318</v>
      </c>
      <c r="DP170" s="409">
        <v>-7.1859821022649015</v>
      </c>
      <c r="DQ170" s="409">
        <v>0</v>
      </c>
      <c r="DR170" s="409">
        <v>-130.90474540468665</v>
      </c>
      <c r="DS170" s="409"/>
      <c r="DT170" s="409"/>
      <c r="DU170" s="409"/>
      <c r="DV170" s="409">
        <v>29136.209963705212</v>
      </c>
      <c r="DW170" s="409">
        <v>0</v>
      </c>
      <c r="DX170" s="409">
        <v>0</v>
      </c>
      <c r="DY170" s="409">
        <v>-6223.3231499999965</v>
      </c>
      <c r="DZ170" s="409">
        <v>602.04869999999937</v>
      </c>
      <c r="EA170" s="409">
        <v>0</v>
      </c>
      <c r="EB170" s="409">
        <v>0</v>
      </c>
      <c r="EC170" s="409">
        <v>-6678.7044453533963</v>
      </c>
      <c r="ED170" s="409">
        <v>0</v>
      </c>
      <c r="EE170" s="409">
        <v>0</v>
      </c>
      <c r="EF170" s="409">
        <v>0</v>
      </c>
      <c r="EG170" s="409">
        <v>0</v>
      </c>
      <c r="EH170" s="409">
        <v>0</v>
      </c>
      <c r="EI170" s="409">
        <v>0</v>
      </c>
      <c r="EJ170" s="409">
        <v>0</v>
      </c>
      <c r="EK170" s="409">
        <v>0</v>
      </c>
      <c r="EL170" s="409">
        <v>0</v>
      </c>
      <c r="EM170" s="409">
        <v>0</v>
      </c>
      <c r="EN170" s="409">
        <v>0</v>
      </c>
      <c r="EO170" s="409">
        <v>0</v>
      </c>
      <c r="EP170" s="409">
        <v>0</v>
      </c>
      <c r="EQ170" s="409">
        <v>0</v>
      </c>
      <c r="ER170" s="409">
        <v>0</v>
      </c>
      <c r="ES170" s="409">
        <v>0</v>
      </c>
      <c r="ET170" s="409">
        <v>0</v>
      </c>
      <c r="EU170" s="409">
        <v>0</v>
      </c>
      <c r="EV170" s="409">
        <v>254</v>
      </c>
      <c r="EW170" s="409">
        <v>0</v>
      </c>
      <c r="EX170" s="409">
        <v>0</v>
      </c>
      <c r="EY170" s="409">
        <v>0</v>
      </c>
      <c r="EZ170" s="409"/>
      <c r="FA170" s="409">
        <v>0</v>
      </c>
      <c r="FB170" s="409"/>
      <c r="FC170" s="409"/>
      <c r="FD170" s="409"/>
      <c r="FE170" s="409"/>
      <c r="FF170" s="409">
        <v>0</v>
      </c>
      <c r="FG170" s="409">
        <v>0</v>
      </c>
      <c r="FH170" s="409">
        <v>0</v>
      </c>
      <c r="FI170" s="409">
        <v>0</v>
      </c>
    </row>
    <row r="171" spans="1:165">
      <c r="A171" s="409">
        <v>169</v>
      </c>
      <c r="B171" s="409" t="s">
        <v>1035</v>
      </c>
      <c r="C171" s="409" t="s">
        <v>2244</v>
      </c>
      <c r="D171" s="409" t="s">
        <v>1994</v>
      </c>
      <c r="E171" s="409" t="s">
        <v>1000</v>
      </c>
      <c r="F171" s="409" t="s">
        <v>2259</v>
      </c>
      <c r="G171" s="409" t="s">
        <v>1323</v>
      </c>
      <c r="H171" s="409" t="s">
        <v>1323</v>
      </c>
      <c r="I171" s="409" t="s">
        <v>1323</v>
      </c>
      <c r="J171" s="409" t="s">
        <v>2245</v>
      </c>
      <c r="K171" s="835">
        <v>44470</v>
      </c>
      <c r="L171" s="409">
        <v>0</v>
      </c>
      <c r="M171" s="409">
        <v>0</v>
      </c>
      <c r="N171" s="409">
        <v>57.7</v>
      </c>
      <c r="O171" s="409">
        <v>54.238</v>
      </c>
      <c r="P171" s="409">
        <v>57.7</v>
      </c>
      <c r="Q171" s="409">
        <v>54.238</v>
      </c>
      <c r="R171" s="409"/>
      <c r="S171" s="409">
        <v>597.01</v>
      </c>
      <c r="T171" s="409">
        <v>243.39</v>
      </c>
      <c r="U171" s="409"/>
      <c r="V171" s="409">
        <v>48491.08</v>
      </c>
      <c r="W171" s="409">
        <v>48491.08</v>
      </c>
      <c r="X171" s="409">
        <v>43925.856</v>
      </c>
      <c r="Y171" s="409">
        <v>0</v>
      </c>
      <c r="Z171" s="409">
        <v>1435.7766497419016</v>
      </c>
      <c r="AA171" s="409">
        <v>0</v>
      </c>
      <c r="AB171" s="409">
        <v>0</v>
      </c>
      <c r="AC171" s="409">
        <v>0</v>
      </c>
      <c r="AD171" s="409">
        <v>6761.809085685114</v>
      </c>
      <c r="AE171" s="409">
        <v>23659.222878816559</v>
      </c>
      <c r="AF171" s="409">
        <v>14043.444025032586</v>
      </c>
      <c r="AG171" s="409">
        <v>0</v>
      </c>
      <c r="AH171" s="409">
        <v>0</v>
      </c>
      <c r="AI171" s="409">
        <v>0</v>
      </c>
      <c r="AJ171" s="409">
        <v>0</v>
      </c>
      <c r="AK171" s="409">
        <v>0</v>
      </c>
      <c r="AL171" s="409">
        <v>586.17954062633009</v>
      </c>
      <c r="AM171" s="409"/>
      <c r="AN171" s="409">
        <v>99.063480943070445</v>
      </c>
      <c r="AO171" s="409">
        <v>0</v>
      </c>
      <c r="AP171" s="409">
        <v>0</v>
      </c>
      <c r="AQ171" s="409">
        <v>0</v>
      </c>
      <c r="AR171" s="409">
        <v>0</v>
      </c>
      <c r="AS171" s="409">
        <v>0</v>
      </c>
      <c r="AT171" s="409">
        <v>0</v>
      </c>
      <c r="AU171" s="409">
        <v>0</v>
      </c>
      <c r="AV171" s="409">
        <v>0</v>
      </c>
      <c r="AW171" s="409">
        <v>0</v>
      </c>
      <c r="AX171" s="409">
        <v>0</v>
      </c>
      <c r="AY171" s="409">
        <v>0</v>
      </c>
      <c r="AZ171" s="409">
        <v>0</v>
      </c>
      <c r="BA171" s="409"/>
      <c r="BB171" s="409">
        <v>0</v>
      </c>
      <c r="BC171" s="409">
        <v>0</v>
      </c>
      <c r="BD171" s="409">
        <v>0</v>
      </c>
      <c r="BE171" s="409">
        <v>0</v>
      </c>
      <c r="BF171" s="409">
        <v>0</v>
      </c>
      <c r="BG171" s="409">
        <v>1905.2153028112089</v>
      </c>
      <c r="BH171" s="409">
        <v>0</v>
      </c>
      <c r="BI171" s="409">
        <v>0</v>
      </c>
      <c r="BJ171" s="409">
        <v>0</v>
      </c>
      <c r="BK171" s="409">
        <v>0</v>
      </c>
      <c r="BL171" s="409">
        <v>9</v>
      </c>
      <c r="BM171" s="409"/>
      <c r="BN171" s="409"/>
      <c r="BO171" s="409"/>
      <c r="BP171" s="409"/>
      <c r="BQ171" s="409">
        <v>2635.5513600000027</v>
      </c>
      <c r="BR171" s="409"/>
      <c r="BS171" s="409"/>
      <c r="BT171" s="409"/>
      <c r="BU171" s="409"/>
      <c r="BV171" s="409">
        <v>15948.659327843794</v>
      </c>
      <c r="BW171" s="409"/>
      <c r="BX171" s="409"/>
      <c r="BY171" s="409"/>
      <c r="BZ171" s="409"/>
      <c r="CA171" s="409"/>
      <c r="CB171" s="409"/>
      <c r="CC171" s="409"/>
      <c r="CD171" s="409"/>
      <c r="CE171" s="409"/>
      <c r="CF171" s="409"/>
      <c r="CG171" s="409"/>
      <c r="CH171" s="409"/>
      <c r="CI171" s="409">
        <v>41291.8272</v>
      </c>
      <c r="CJ171" s="409">
        <v>-4289.817999999992</v>
      </c>
      <c r="CK171" s="409"/>
      <c r="CL171" s="409"/>
      <c r="CM171" s="409"/>
      <c r="CN171" s="409"/>
      <c r="CO171" s="409">
        <v>-5053.3659999999991</v>
      </c>
      <c r="CP171" s="409">
        <v>488.14200000000051</v>
      </c>
      <c r="CQ171" s="409">
        <v>31</v>
      </c>
      <c r="CR171" s="409">
        <v>858.21958772619109</v>
      </c>
      <c r="CS171" s="409">
        <v>0</v>
      </c>
      <c r="CT171" s="409">
        <v>0</v>
      </c>
      <c r="CU171" s="409">
        <v>0</v>
      </c>
      <c r="CV171" s="409">
        <v>0</v>
      </c>
      <c r="CW171" s="409">
        <v>0</v>
      </c>
      <c r="CX171" s="409">
        <v>0</v>
      </c>
      <c r="CY171" s="409">
        <v>0</v>
      </c>
      <c r="CZ171" s="409">
        <v>253.50440303106188</v>
      </c>
      <c r="DA171" s="409">
        <v>0</v>
      </c>
      <c r="DB171" s="409">
        <v>0</v>
      </c>
      <c r="DC171" s="409">
        <v>643.32886127234087</v>
      </c>
      <c r="DD171" s="409">
        <v>0</v>
      </c>
      <c r="DE171" s="409">
        <v>0</v>
      </c>
      <c r="DF171" s="409">
        <v>0</v>
      </c>
      <c r="DG171" s="409">
        <v>87.277735365436911</v>
      </c>
      <c r="DH171" s="409">
        <v>0</v>
      </c>
      <c r="DI171" s="409">
        <v>-10.470947849910317</v>
      </c>
      <c r="DJ171" s="409"/>
      <c r="DK171" s="409">
        <v>0</v>
      </c>
      <c r="DL171" s="409">
        <v>0</v>
      </c>
      <c r="DM171" s="409">
        <v>0</v>
      </c>
      <c r="DN171" s="409">
        <v>0</v>
      </c>
      <c r="DO171" s="409">
        <v>-3.2878530340308316</v>
      </c>
      <c r="DP171" s="409">
        <v>-5.8351704759285496</v>
      </c>
      <c r="DQ171" s="409">
        <v>0</v>
      </c>
      <c r="DR171" s="409">
        <v>-106.29744058277485</v>
      </c>
      <c r="DS171" s="409"/>
      <c r="DT171" s="409"/>
      <c r="DU171" s="409"/>
      <c r="DV171" s="409">
        <v>23659.222878816559</v>
      </c>
      <c r="DW171" s="409">
        <v>0</v>
      </c>
      <c r="DX171" s="409">
        <v>0</v>
      </c>
      <c r="DY171" s="409">
        <v>-5053.3659999999982</v>
      </c>
      <c r="DZ171" s="409">
        <v>488.14200000000164</v>
      </c>
      <c r="EA171" s="409">
        <v>0</v>
      </c>
      <c r="EB171" s="409">
        <v>0</v>
      </c>
      <c r="EC171" s="409">
        <v>-5423.2502172105887</v>
      </c>
      <c r="ED171" s="409">
        <v>0</v>
      </c>
      <c r="EE171" s="409">
        <v>0</v>
      </c>
      <c r="EF171" s="409">
        <v>0</v>
      </c>
      <c r="EG171" s="409">
        <v>0</v>
      </c>
      <c r="EH171" s="409">
        <v>0</v>
      </c>
      <c r="EI171" s="409">
        <v>0</v>
      </c>
      <c r="EJ171" s="409">
        <v>0</v>
      </c>
      <c r="EK171" s="409">
        <v>0</v>
      </c>
      <c r="EL171" s="409">
        <v>0</v>
      </c>
      <c r="EM171" s="409">
        <v>0</v>
      </c>
      <c r="EN171" s="409">
        <v>0</v>
      </c>
      <c r="EO171" s="409">
        <v>0</v>
      </c>
      <c r="EP171" s="409">
        <v>0</v>
      </c>
      <c r="EQ171" s="409">
        <v>0</v>
      </c>
      <c r="ER171" s="409">
        <v>0</v>
      </c>
      <c r="ES171" s="409">
        <v>0</v>
      </c>
      <c r="ET171" s="409">
        <v>0</v>
      </c>
      <c r="EU171" s="409">
        <v>0</v>
      </c>
      <c r="EV171" s="409">
        <v>254</v>
      </c>
      <c r="EW171" s="409">
        <v>0</v>
      </c>
      <c r="EX171" s="409">
        <v>0</v>
      </c>
      <c r="EY171" s="409">
        <v>0</v>
      </c>
      <c r="EZ171" s="409"/>
      <c r="FA171" s="409">
        <v>0</v>
      </c>
      <c r="FB171" s="409"/>
      <c r="FC171" s="409"/>
      <c r="FD171" s="409"/>
      <c r="FE171" s="409"/>
      <c r="FF171" s="409">
        <v>0</v>
      </c>
      <c r="FG171" s="409">
        <v>0</v>
      </c>
      <c r="FH171" s="409">
        <v>0</v>
      </c>
      <c r="FI171" s="409">
        <v>0</v>
      </c>
    </row>
    <row r="172" spans="1:165">
      <c r="A172" s="409">
        <v>170</v>
      </c>
      <c r="B172" s="409" t="s">
        <v>1035</v>
      </c>
      <c r="C172" s="409" t="s">
        <v>2244</v>
      </c>
      <c r="D172" s="409" t="s">
        <v>1994</v>
      </c>
      <c r="E172" s="409" t="s">
        <v>2260</v>
      </c>
      <c r="F172" s="409" t="s">
        <v>1323</v>
      </c>
      <c r="G172" s="409" t="s">
        <v>1323</v>
      </c>
      <c r="H172" s="409" t="s">
        <v>1323</v>
      </c>
      <c r="I172" s="409" t="s">
        <v>1323</v>
      </c>
      <c r="J172" s="409" t="s">
        <v>2245</v>
      </c>
      <c r="K172" s="835">
        <v>44470</v>
      </c>
      <c r="L172" s="409">
        <v>0</v>
      </c>
      <c r="M172" s="409">
        <v>0</v>
      </c>
      <c r="N172" s="409">
        <v>3.274</v>
      </c>
      <c r="O172" s="409">
        <v>3.274</v>
      </c>
      <c r="P172" s="409">
        <v>3.274</v>
      </c>
      <c r="Q172" s="409">
        <v>3.274</v>
      </c>
      <c r="R172" s="409"/>
      <c r="S172" s="409">
        <v>597.01</v>
      </c>
      <c r="T172" s="409">
        <v>243.39</v>
      </c>
      <c r="U172" s="409"/>
      <c r="V172" s="409">
        <v>2751.4695999999999</v>
      </c>
      <c r="W172" s="409">
        <v>2751.4695999999999</v>
      </c>
      <c r="X172" s="409">
        <v>2492.4307200000003</v>
      </c>
      <c r="Y172" s="409">
        <v>0</v>
      </c>
      <c r="Z172" s="409">
        <v>81.468505221056944</v>
      </c>
      <c r="AA172" s="409">
        <v>0</v>
      </c>
      <c r="AB172" s="409">
        <v>0</v>
      </c>
      <c r="AC172" s="409">
        <v>0</v>
      </c>
      <c r="AD172" s="409">
        <v>383.67700080646557</v>
      </c>
      <c r="AE172" s="409">
        <v>1342.4661300735775</v>
      </c>
      <c r="AF172" s="409">
        <v>796.84983947931869</v>
      </c>
      <c r="AG172" s="409">
        <v>0</v>
      </c>
      <c r="AH172" s="409">
        <v>0</v>
      </c>
      <c r="AI172" s="409">
        <v>0</v>
      </c>
      <c r="AJ172" s="409">
        <v>0</v>
      </c>
      <c r="AK172" s="409">
        <v>0</v>
      </c>
      <c r="AL172" s="409">
        <v>33.260863362402162</v>
      </c>
      <c r="AM172" s="409"/>
      <c r="AN172" s="409">
        <v>5.6210370295946728</v>
      </c>
      <c r="AO172" s="409">
        <v>0</v>
      </c>
      <c r="AP172" s="409">
        <v>0</v>
      </c>
      <c r="AQ172" s="409">
        <v>0</v>
      </c>
      <c r="AR172" s="409">
        <v>0</v>
      </c>
      <c r="AS172" s="409">
        <v>0</v>
      </c>
      <c r="AT172" s="409">
        <v>0</v>
      </c>
      <c r="AU172" s="409">
        <v>0</v>
      </c>
      <c r="AV172" s="409">
        <v>0</v>
      </c>
      <c r="AW172" s="409">
        <v>0</v>
      </c>
      <c r="AX172" s="409">
        <v>0</v>
      </c>
      <c r="AY172" s="409">
        <v>0</v>
      </c>
      <c r="AZ172" s="409">
        <v>0</v>
      </c>
      <c r="BA172" s="409"/>
      <c r="BB172" s="409">
        <v>0</v>
      </c>
      <c r="BC172" s="409">
        <v>0</v>
      </c>
      <c r="BD172" s="409">
        <v>0</v>
      </c>
      <c r="BE172" s="409">
        <v>0</v>
      </c>
      <c r="BF172" s="409">
        <v>0</v>
      </c>
      <c r="BG172" s="409">
        <v>108.10528425310048</v>
      </c>
      <c r="BH172" s="409">
        <v>0</v>
      </c>
      <c r="BI172" s="409">
        <v>0</v>
      </c>
      <c r="BJ172" s="409">
        <v>0</v>
      </c>
      <c r="BK172" s="409">
        <v>985.78</v>
      </c>
      <c r="BL172" s="409">
        <v>3</v>
      </c>
      <c r="BM172" s="409"/>
      <c r="BN172" s="409"/>
      <c r="BO172" s="409"/>
      <c r="BP172" s="409"/>
      <c r="BQ172" s="409"/>
      <c r="BR172" s="409"/>
      <c r="BS172" s="409"/>
      <c r="BT172" s="409"/>
      <c r="BU172" s="409"/>
      <c r="BV172" s="409">
        <v>904.95512373241922</v>
      </c>
      <c r="BW172" s="409"/>
      <c r="BX172" s="409"/>
      <c r="BY172" s="409"/>
      <c r="BZ172" s="409"/>
      <c r="CA172" s="409"/>
      <c r="CB172" s="409"/>
      <c r="CC172" s="409"/>
      <c r="CD172" s="409"/>
      <c r="CE172" s="409"/>
      <c r="CF172" s="409"/>
      <c r="CG172" s="409"/>
      <c r="CH172" s="409"/>
      <c r="CI172" s="409">
        <v>2489.3856000000001</v>
      </c>
      <c r="CJ172" s="409">
        <v>-262.11400000000003</v>
      </c>
      <c r="CK172" s="409"/>
      <c r="CL172" s="409"/>
      <c r="CM172" s="409"/>
      <c r="CN172" s="409"/>
      <c r="CO172" s="409">
        <v>-286.73691999999994</v>
      </c>
      <c r="CP172" s="409">
        <v>27.698040000000027</v>
      </c>
      <c r="CQ172" s="409">
        <v>31</v>
      </c>
      <c r="CR172" s="409">
        <v>48.696896537531529</v>
      </c>
      <c r="CS172" s="409">
        <v>0</v>
      </c>
      <c r="CT172" s="409">
        <v>0</v>
      </c>
      <c r="CU172" s="409">
        <v>0</v>
      </c>
      <c r="CV172" s="409">
        <v>0</v>
      </c>
      <c r="CW172" s="409">
        <v>0</v>
      </c>
      <c r="CX172" s="409">
        <v>0</v>
      </c>
      <c r="CY172" s="409">
        <v>0</v>
      </c>
      <c r="CZ172" s="409">
        <v>14.384287964015471</v>
      </c>
      <c r="DA172" s="409">
        <v>0</v>
      </c>
      <c r="DB172" s="409">
        <v>0</v>
      </c>
      <c r="DC172" s="409">
        <v>36.503616842385441</v>
      </c>
      <c r="DD172" s="409">
        <v>0</v>
      </c>
      <c r="DE172" s="409">
        <v>0</v>
      </c>
      <c r="DF172" s="409">
        <v>0</v>
      </c>
      <c r="DG172" s="409">
        <v>4.9522929910994833</v>
      </c>
      <c r="DH172" s="409">
        <v>0</v>
      </c>
      <c r="DI172" s="409">
        <v>-0.59414009117168121</v>
      </c>
      <c r="DJ172" s="409"/>
      <c r="DK172" s="409">
        <v>0</v>
      </c>
      <c r="DL172" s="409">
        <v>0</v>
      </c>
      <c r="DM172" s="409">
        <v>0</v>
      </c>
      <c r="DN172" s="409">
        <v>0</v>
      </c>
      <c r="DO172" s="409">
        <v>-0.18655859330011992</v>
      </c>
      <c r="DP172" s="409">
        <v>-0.33109788801022688</v>
      </c>
      <c r="DQ172" s="409">
        <v>0</v>
      </c>
      <c r="DR172" s="409">
        <v>-6.0315046874870859</v>
      </c>
      <c r="DS172" s="409"/>
      <c r="DT172" s="409"/>
      <c r="DU172" s="409"/>
      <c r="DV172" s="409">
        <v>1342.4661300735775</v>
      </c>
      <c r="DW172" s="409">
        <v>0</v>
      </c>
      <c r="DX172" s="409">
        <v>0</v>
      </c>
      <c r="DY172" s="409">
        <v>-286.73692000000005</v>
      </c>
      <c r="DZ172" s="409">
        <v>27.698040000000105</v>
      </c>
      <c r="EA172" s="409">
        <v>0</v>
      </c>
      <c r="EB172" s="409">
        <v>0</v>
      </c>
      <c r="EC172" s="409">
        <v>-307.72480435264265</v>
      </c>
      <c r="ED172" s="409">
        <v>0</v>
      </c>
      <c r="EE172" s="409">
        <v>0</v>
      </c>
      <c r="EF172" s="409">
        <v>0</v>
      </c>
      <c r="EG172" s="409">
        <v>0</v>
      </c>
      <c r="EH172" s="409">
        <v>0</v>
      </c>
      <c r="EI172" s="409">
        <v>0</v>
      </c>
      <c r="EJ172" s="409">
        <v>0</v>
      </c>
      <c r="EK172" s="409">
        <v>0</v>
      </c>
      <c r="EL172" s="409">
        <v>0</v>
      </c>
      <c r="EM172" s="409">
        <v>0</v>
      </c>
      <c r="EN172" s="409">
        <v>0</v>
      </c>
      <c r="EO172" s="409">
        <v>0</v>
      </c>
      <c r="EP172" s="409">
        <v>0</v>
      </c>
      <c r="EQ172" s="409">
        <v>0</v>
      </c>
      <c r="ER172" s="409">
        <v>0</v>
      </c>
      <c r="ES172" s="409">
        <v>0</v>
      </c>
      <c r="ET172" s="409">
        <v>0</v>
      </c>
      <c r="EU172" s="409">
        <v>0</v>
      </c>
      <c r="EV172" s="409">
        <v>254</v>
      </c>
      <c r="EW172" s="409">
        <v>0</v>
      </c>
      <c r="EX172" s="409">
        <v>0</v>
      </c>
      <c r="EY172" s="409">
        <v>0</v>
      </c>
      <c r="EZ172" s="409"/>
      <c r="FA172" s="409">
        <v>0</v>
      </c>
      <c r="FB172" s="409"/>
      <c r="FC172" s="409"/>
      <c r="FD172" s="409"/>
      <c r="FE172" s="409"/>
      <c r="FF172" s="409">
        <v>0</v>
      </c>
      <c r="FG172" s="409">
        <v>0</v>
      </c>
      <c r="FH172" s="409">
        <v>0</v>
      </c>
      <c r="FI172" s="409">
        <v>0</v>
      </c>
    </row>
    <row r="173" spans="1:165">
      <c r="A173" s="409">
        <v>171</v>
      </c>
      <c r="B173" s="409" t="s">
        <v>1035</v>
      </c>
      <c r="C173" s="409" t="s">
        <v>2244</v>
      </c>
      <c r="D173" s="409" t="s">
        <v>2254</v>
      </c>
      <c r="E173" s="409" t="s">
        <v>973</v>
      </c>
      <c r="F173" s="409" t="s">
        <v>2261</v>
      </c>
      <c r="G173" s="409" t="s">
        <v>2262</v>
      </c>
      <c r="H173" s="409" t="s">
        <v>1323</v>
      </c>
      <c r="I173" s="409" t="s">
        <v>1323</v>
      </c>
      <c r="J173" s="409" t="s">
        <v>2245</v>
      </c>
      <c r="K173" s="835">
        <v>44470</v>
      </c>
      <c r="L173" s="409">
        <v>0</v>
      </c>
      <c r="M173" s="409">
        <v>0</v>
      </c>
      <c r="N173" s="409">
        <v>0</v>
      </c>
      <c r="O173" s="409">
        <v>0</v>
      </c>
      <c r="P173" s="409">
        <v>0</v>
      </c>
      <c r="Q173" s="409">
        <v>0</v>
      </c>
      <c r="R173" s="409"/>
      <c r="S173" s="409"/>
      <c r="T173" s="409"/>
      <c r="U173" s="409"/>
      <c r="V173" s="409"/>
      <c r="W173" s="409"/>
      <c r="X173" s="409"/>
      <c r="Y173" s="409"/>
      <c r="Z173" s="409"/>
      <c r="AA173" s="409">
        <v>0</v>
      </c>
      <c r="AB173" s="409"/>
      <c r="AC173" s="409"/>
      <c r="AD173" s="409"/>
      <c r="AE173" s="409"/>
      <c r="AF173" s="409"/>
      <c r="AG173" s="409"/>
      <c r="AH173" s="409"/>
      <c r="AI173" s="409"/>
      <c r="AJ173" s="409"/>
      <c r="AK173" s="409"/>
      <c r="AL173" s="409"/>
      <c r="AM173" s="409"/>
      <c r="AN173" s="409"/>
      <c r="AO173" s="409"/>
      <c r="AP173" s="409"/>
      <c r="AQ173" s="409"/>
      <c r="AR173" s="409"/>
      <c r="AS173" s="409"/>
      <c r="AT173" s="409"/>
      <c r="AU173" s="409"/>
      <c r="AV173" s="409"/>
      <c r="AW173" s="409"/>
      <c r="AX173" s="409"/>
      <c r="AY173" s="409"/>
      <c r="AZ173" s="409">
        <v>0</v>
      </c>
      <c r="BA173" s="409"/>
      <c r="BB173" s="409"/>
      <c r="BC173" s="409"/>
      <c r="BD173" s="409"/>
      <c r="BE173" s="409"/>
      <c r="BF173" s="409"/>
      <c r="BG173" s="409"/>
      <c r="BH173" s="409"/>
      <c r="BI173" s="409">
        <v>0</v>
      </c>
      <c r="BJ173" s="409">
        <v>0</v>
      </c>
      <c r="BK173" s="409">
        <v>0</v>
      </c>
      <c r="BL173" s="409">
        <v>7</v>
      </c>
      <c r="BM173" s="409"/>
      <c r="BN173" s="409"/>
      <c r="BO173" s="409"/>
      <c r="BP173" s="409"/>
      <c r="BQ173" s="409"/>
      <c r="BR173" s="409"/>
      <c r="BS173" s="409"/>
      <c r="BT173" s="409"/>
      <c r="BU173" s="409"/>
      <c r="BV173" s="409"/>
      <c r="BW173" s="409"/>
      <c r="BX173" s="409"/>
      <c r="BY173" s="409"/>
      <c r="BZ173" s="409"/>
      <c r="CA173" s="409"/>
      <c r="CB173" s="409"/>
      <c r="CC173" s="409"/>
      <c r="CD173" s="409"/>
      <c r="CE173" s="409"/>
      <c r="CF173" s="409"/>
      <c r="CG173" s="409"/>
      <c r="CH173" s="409"/>
      <c r="CI173" s="409"/>
      <c r="CJ173" s="409">
        <v>-0.03</v>
      </c>
      <c r="CK173" s="409"/>
      <c r="CL173" s="409"/>
      <c r="CM173" s="409"/>
      <c r="CN173" s="409"/>
      <c r="CO173" s="409">
        <v>0</v>
      </c>
      <c r="CP173" s="409">
        <v>0</v>
      </c>
      <c r="CQ173" s="409">
        <v>31</v>
      </c>
      <c r="CR173" s="409"/>
      <c r="CS173" s="409"/>
      <c r="CT173" s="409"/>
      <c r="CU173" s="409"/>
      <c r="CV173" s="409"/>
      <c r="CW173" s="409"/>
      <c r="CX173" s="409"/>
      <c r="CY173" s="409"/>
      <c r="CZ173" s="409"/>
      <c r="DA173" s="409"/>
      <c r="DB173" s="409"/>
      <c r="DC173" s="409"/>
      <c r="DD173" s="409"/>
      <c r="DE173" s="409"/>
      <c r="DF173" s="409"/>
      <c r="DG173" s="409"/>
      <c r="DH173" s="409"/>
      <c r="DI173" s="409"/>
      <c r="DJ173" s="409"/>
      <c r="DK173" s="409">
        <v>0</v>
      </c>
      <c r="DL173" s="409"/>
      <c r="DM173" s="409"/>
      <c r="DN173" s="409"/>
      <c r="DO173" s="409"/>
      <c r="DP173" s="409"/>
      <c r="DQ173" s="409"/>
      <c r="DR173" s="409"/>
      <c r="DS173" s="409"/>
      <c r="DT173" s="409"/>
      <c r="DU173" s="409"/>
      <c r="DV173" s="409"/>
      <c r="DW173" s="409"/>
      <c r="DX173" s="409"/>
      <c r="DY173" s="409"/>
      <c r="DZ173" s="409"/>
      <c r="EA173" s="409"/>
      <c r="EB173" s="409"/>
      <c r="EC173" s="409"/>
      <c r="ED173" s="409"/>
      <c r="EE173" s="409"/>
      <c r="EF173" s="409"/>
      <c r="EG173" s="409"/>
      <c r="EH173" s="409"/>
      <c r="EI173" s="409"/>
      <c r="EJ173" s="409"/>
      <c r="EK173" s="409"/>
      <c r="EL173" s="409"/>
      <c r="EM173" s="409"/>
      <c r="EN173" s="409"/>
      <c r="EO173" s="409"/>
      <c r="EP173" s="409"/>
      <c r="EQ173" s="409"/>
      <c r="ER173" s="409"/>
      <c r="ES173" s="409"/>
      <c r="ET173" s="409"/>
      <c r="EU173" s="409"/>
      <c r="EV173" s="409">
        <v>254</v>
      </c>
      <c r="EW173" s="409"/>
      <c r="EX173" s="409"/>
      <c r="EY173" s="409"/>
      <c r="EZ173" s="409"/>
      <c r="FA173" s="409">
        <v>0</v>
      </c>
      <c r="FB173" s="409"/>
      <c r="FC173" s="409"/>
      <c r="FD173" s="409"/>
      <c r="FE173" s="409"/>
      <c r="FF173" s="409">
        <v>0</v>
      </c>
      <c r="FG173" s="409">
        <v>0</v>
      </c>
      <c r="FH173" s="409">
        <v>0</v>
      </c>
      <c r="FI173" s="409">
        <v>0</v>
      </c>
    </row>
    <row r="174" spans="1:165">
      <c r="A174" s="409">
        <v>172</v>
      </c>
      <c r="B174" s="409" t="s">
        <v>1035</v>
      </c>
      <c r="C174" s="409" t="s">
        <v>2244</v>
      </c>
      <c r="D174" s="409" t="s">
        <v>2254</v>
      </c>
      <c r="E174" s="409" t="s">
        <v>973</v>
      </c>
      <c r="F174" s="409" t="s">
        <v>2261</v>
      </c>
      <c r="G174" s="409" t="s">
        <v>2262</v>
      </c>
      <c r="H174" s="409" t="s">
        <v>1323</v>
      </c>
      <c r="I174" s="409" t="s">
        <v>1323</v>
      </c>
      <c r="J174" s="409" t="s">
        <v>2245</v>
      </c>
      <c r="K174" s="835">
        <v>44470</v>
      </c>
      <c r="L174" s="409">
        <v>0</v>
      </c>
      <c r="M174" s="409">
        <v>0</v>
      </c>
      <c r="N174" s="409">
        <v>10.007</v>
      </c>
      <c r="O174" s="409">
        <v>10.007</v>
      </c>
      <c r="P174" s="409">
        <v>10.007</v>
      </c>
      <c r="Q174" s="409">
        <v>10.007</v>
      </c>
      <c r="R174" s="409"/>
      <c r="S174" s="409">
        <v>597.01</v>
      </c>
      <c r="T174" s="409">
        <v>243.39</v>
      </c>
      <c r="U174" s="409"/>
      <c r="V174" s="409">
        <v>8409.8827999999994</v>
      </c>
      <c r="W174" s="409">
        <v>8409.8827999999994</v>
      </c>
      <c r="X174" s="409">
        <v>7618.12896</v>
      </c>
      <c r="Y174" s="409">
        <v>0</v>
      </c>
      <c r="Z174" s="409">
        <v>249.00895899423239</v>
      </c>
      <c r="AA174" s="409">
        <v>0</v>
      </c>
      <c r="AB174" s="409">
        <v>0</v>
      </c>
      <c r="AC174" s="409">
        <v>0</v>
      </c>
      <c r="AD174" s="409">
        <v>1172.7109795572085</v>
      </c>
      <c r="AE174" s="409">
        <v>4103.25551730186</v>
      </c>
      <c r="AF174" s="409">
        <v>2435.5761587261886</v>
      </c>
      <c r="AG174" s="409">
        <v>0</v>
      </c>
      <c r="AH174" s="409">
        <v>0</v>
      </c>
      <c r="AI174" s="409">
        <v>0</v>
      </c>
      <c r="AJ174" s="409">
        <v>0</v>
      </c>
      <c r="AK174" s="409">
        <v>0</v>
      </c>
      <c r="AL174" s="409">
        <v>101.66202188990788</v>
      </c>
      <c r="AM174" s="409"/>
      <c r="AN174" s="409">
        <v>17.1807323015131</v>
      </c>
      <c r="AO174" s="409">
        <v>0</v>
      </c>
      <c r="AP174" s="409">
        <v>0</v>
      </c>
      <c r="AQ174" s="409">
        <v>0</v>
      </c>
      <c r="AR174" s="409">
        <v>0</v>
      </c>
      <c r="AS174" s="409">
        <v>0</v>
      </c>
      <c r="AT174" s="409">
        <v>0</v>
      </c>
      <c r="AU174" s="409">
        <v>0</v>
      </c>
      <c r="AV174" s="409">
        <v>0</v>
      </c>
      <c r="AW174" s="409">
        <v>0</v>
      </c>
      <c r="AX174" s="409">
        <v>0</v>
      </c>
      <c r="AY174" s="409">
        <v>0</v>
      </c>
      <c r="AZ174" s="409">
        <v>0</v>
      </c>
      <c r="BA174" s="409"/>
      <c r="BB174" s="409">
        <v>0</v>
      </c>
      <c r="BC174" s="409">
        <v>0</v>
      </c>
      <c r="BD174" s="409">
        <v>0</v>
      </c>
      <c r="BE174" s="409">
        <v>0</v>
      </c>
      <c r="BF174" s="409">
        <v>0</v>
      </c>
      <c r="BG174" s="409">
        <v>330.42442868685902</v>
      </c>
      <c r="BH174" s="409">
        <v>0</v>
      </c>
      <c r="BI174" s="409">
        <v>0</v>
      </c>
      <c r="BJ174" s="409">
        <v>0</v>
      </c>
      <c r="BK174" s="409">
        <v>0</v>
      </c>
      <c r="BL174" s="409">
        <v>0</v>
      </c>
      <c r="BM174" s="409"/>
      <c r="BN174" s="409"/>
      <c r="BO174" s="409"/>
      <c r="BP174" s="409"/>
      <c r="BQ174" s="409"/>
      <c r="BR174" s="409">
        <v>914.23951999999986</v>
      </c>
      <c r="BS174" s="409"/>
      <c r="BT174" s="409"/>
      <c r="BU174" s="409"/>
      <c r="BV174" s="409">
        <v>2766.0005874130475</v>
      </c>
      <c r="BW174" s="409"/>
      <c r="BX174" s="409"/>
      <c r="BY174" s="409"/>
      <c r="BZ174" s="409"/>
      <c r="CA174" s="409"/>
      <c r="CB174" s="409"/>
      <c r="CC174" s="409"/>
      <c r="CD174" s="409"/>
      <c r="CE174" s="409"/>
      <c r="CF174" s="409"/>
      <c r="CG174" s="409"/>
      <c r="CH174" s="409"/>
      <c r="CI174" s="409">
        <v>6705.8991999999998</v>
      </c>
      <c r="CJ174" s="409">
        <v>-694.80765000000065</v>
      </c>
      <c r="CK174" s="409"/>
      <c r="CL174" s="409"/>
      <c r="CM174" s="409"/>
      <c r="CN174" s="409"/>
      <c r="CO174" s="409">
        <v>-876.41305999999986</v>
      </c>
      <c r="CP174" s="409">
        <v>84.659220000000076</v>
      </c>
      <c r="CQ174" s="409">
        <v>31</v>
      </c>
      <c r="CR174" s="409">
        <v>148.8423468696019</v>
      </c>
      <c r="CS174" s="409">
        <v>0</v>
      </c>
      <c r="CT174" s="409">
        <v>0</v>
      </c>
      <c r="CU174" s="409">
        <v>0</v>
      </c>
      <c r="CV174" s="409">
        <v>0</v>
      </c>
      <c r="CW174" s="409">
        <v>0</v>
      </c>
      <c r="CX174" s="409">
        <v>0</v>
      </c>
      <c r="CY174" s="409">
        <v>0</v>
      </c>
      <c r="CZ174" s="409">
        <v>43.965659638333364</v>
      </c>
      <c r="DA174" s="409">
        <v>0</v>
      </c>
      <c r="DB174" s="409">
        <v>0</v>
      </c>
      <c r="DC174" s="409">
        <v>111.57351672014374</v>
      </c>
      <c r="DD174" s="409">
        <v>0</v>
      </c>
      <c r="DE174" s="409">
        <v>0</v>
      </c>
      <c r="DF174" s="409">
        <v>0</v>
      </c>
      <c r="DG174" s="409">
        <v>15.136712266931113</v>
      </c>
      <c r="DH174" s="409">
        <v>0</v>
      </c>
      <c r="DI174" s="409">
        <v>-1.8159926366386969</v>
      </c>
      <c r="DJ174" s="409"/>
      <c r="DK174" s="409">
        <v>0</v>
      </c>
      <c r="DL174" s="409">
        <v>0</v>
      </c>
      <c r="DM174" s="409">
        <v>0</v>
      </c>
      <c r="DN174" s="409">
        <v>0</v>
      </c>
      <c r="DO174" s="409">
        <v>-0.57021742307705381</v>
      </c>
      <c r="DP174" s="409">
        <v>-1.0120026161632047</v>
      </c>
      <c r="DQ174" s="409">
        <v>0</v>
      </c>
      <c r="DR174" s="409">
        <v>-18.435329079927691</v>
      </c>
      <c r="DS174" s="409"/>
      <c r="DT174" s="409"/>
      <c r="DU174" s="409"/>
      <c r="DV174" s="409">
        <v>4103.25551730186</v>
      </c>
      <c r="DW174" s="409">
        <v>0</v>
      </c>
      <c r="DX174" s="409">
        <v>0</v>
      </c>
      <c r="DY174" s="409">
        <v>-876.41305999999986</v>
      </c>
      <c r="DZ174" s="409">
        <v>84.659220000000005</v>
      </c>
      <c r="EA174" s="409">
        <v>0</v>
      </c>
      <c r="EB174" s="409">
        <v>0</v>
      </c>
      <c r="EC174" s="409">
        <v>-940.56265032281453</v>
      </c>
      <c r="ED174" s="409">
        <v>0</v>
      </c>
      <c r="EE174" s="409">
        <v>0</v>
      </c>
      <c r="EF174" s="409">
        <v>0</v>
      </c>
      <c r="EG174" s="409">
        <v>0</v>
      </c>
      <c r="EH174" s="409">
        <v>0</v>
      </c>
      <c r="EI174" s="409">
        <v>0</v>
      </c>
      <c r="EJ174" s="409">
        <v>0</v>
      </c>
      <c r="EK174" s="409">
        <v>0</v>
      </c>
      <c r="EL174" s="409">
        <v>0</v>
      </c>
      <c r="EM174" s="409">
        <v>0</v>
      </c>
      <c r="EN174" s="409">
        <v>0</v>
      </c>
      <c r="EO174" s="409">
        <v>0</v>
      </c>
      <c r="EP174" s="409">
        <v>0</v>
      </c>
      <c r="EQ174" s="409">
        <v>0</v>
      </c>
      <c r="ER174" s="409">
        <v>0</v>
      </c>
      <c r="ES174" s="409">
        <v>0</v>
      </c>
      <c r="ET174" s="409">
        <v>0</v>
      </c>
      <c r="EU174" s="409">
        <v>0</v>
      </c>
      <c r="EV174" s="409">
        <v>254</v>
      </c>
      <c r="EW174" s="409">
        <v>0</v>
      </c>
      <c r="EX174" s="409">
        <v>0</v>
      </c>
      <c r="EY174" s="409">
        <v>0</v>
      </c>
      <c r="EZ174" s="409"/>
      <c r="FA174" s="409">
        <v>0</v>
      </c>
      <c r="FB174" s="409"/>
      <c r="FC174" s="409"/>
      <c r="FD174" s="409"/>
      <c r="FE174" s="409"/>
      <c r="FF174" s="409">
        <v>0</v>
      </c>
      <c r="FG174" s="409">
        <v>0</v>
      </c>
      <c r="FH174" s="409">
        <v>0</v>
      </c>
      <c r="FI174" s="409">
        <v>0</v>
      </c>
    </row>
    <row r="175" spans="1:165">
      <c r="A175" s="409">
        <v>173</v>
      </c>
      <c r="B175" s="409" t="s">
        <v>1035</v>
      </c>
      <c r="C175" s="409" t="s">
        <v>2244</v>
      </c>
      <c r="D175" s="409" t="s">
        <v>2254</v>
      </c>
      <c r="E175" s="409" t="s">
        <v>973</v>
      </c>
      <c r="F175" s="409" t="s">
        <v>2261</v>
      </c>
      <c r="G175" s="409" t="s">
        <v>2263</v>
      </c>
      <c r="H175" s="409" t="s">
        <v>1323</v>
      </c>
      <c r="I175" s="409" t="s">
        <v>1323</v>
      </c>
      <c r="J175" s="409" t="s">
        <v>2245</v>
      </c>
      <c r="K175" s="835">
        <v>44470</v>
      </c>
      <c r="L175" s="409">
        <v>0</v>
      </c>
      <c r="M175" s="409">
        <v>0</v>
      </c>
      <c r="N175" s="409">
        <v>7.0389999999999997</v>
      </c>
      <c r="O175" s="409">
        <v>1.9005300000000001</v>
      </c>
      <c r="P175" s="409">
        <v>7.0389999999999997</v>
      </c>
      <c r="Q175" s="409">
        <v>1.9005300000000001</v>
      </c>
      <c r="R175" s="409"/>
      <c r="S175" s="409">
        <v>597.01</v>
      </c>
      <c r="T175" s="409">
        <v>243.39</v>
      </c>
      <c r="U175" s="409"/>
      <c r="V175" s="409">
        <v>5915.5755999999992</v>
      </c>
      <c r="W175" s="409">
        <v>5915.5755999999992</v>
      </c>
      <c r="X175" s="409">
        <v>5358.6499199999998</v>
      </c>
      <c r="Y175" s="409">
        <v>0</v>
      </c>
      <c r="Z175" s="409">
        <v>175.15479787752591</v>
      </c>
      <c r="AA175" s="409">
        <v>0</v>
      </c>
      <c r="AB175" s="409">
        <v>0</v>
      </c>
      <c r="AC175" s="409">
        <v>0</v>
      </c>
      <c r="AD175" s="409">
        <v>824.89383282733991</v>
      </c>
      <c r="AE175" s="409">
        <v>2886.2611758057151</v>
      </c>
      <c r="AF175" s="409">
        <v>1713.202816156055</v>
      </c>
      <c r="AG175" s="409">
        <v>0</v>
      </c>
      <c r="AH175" s="409">
        <v>0</v>
      </c>
      <c r="AI175" s="409">
        <v>0</v>
      </c>
      <c r="AJ175" s="409">
        <v>0</v>
      </c>
      <c r="AK175" s="409">
        <v>0</v>
      </c>
      <c r="AL175" s="409">
        <v>71.509840320082105</v>
      </c>
      <c r="AM175" s="409"/>
      <c r="AN175" s="409">
        <v>12.085057926486529</v>
      </c>
      <c r="AO175" s="409">
        <v>0</v>
      </c>
      <c r="AP175" s="409">
        <v>0</v>
      </c>
      <c r="AQ175" s="409">
        <v>0</v>
      </c>
      <c r="AR175" s="409">
        <v>0</v>
      </c>
      <c r="AS175" s="409">
        <v>0</v>
      </c>
      <c r="AT175" s="409">
        <v>0</v>
      </c>
      <c r="AU175" s="409">
        <v>0</v>
      </c>
      <c r="AV175" s="409">
        <v>0</v>
      </c>
      <c r="AW175" s="409">
        <v>0</v>
      </c>
      <c r="AX175" s="409">
        <v>0</v>
      </c>
      <c r="AY175" s="409">
        <v>0</v>
      </c>
      <c r="AZ175" s="409">
        <v>0</v>
      </c>
      <c r="BA175" s="409"/>
      <c r="BB175" s="409">
        <v>0</v>
      </c>
      <c r="BC175" s="409">
        <v>0</v>
      </c>
      <c r="BD175" s="409">
        <v>0</v>
      </c>
      <c r="BE175" s="409">
        <v>0</v>
      </c>
      <c r="BF175" s="409">
        <v>0</v>
      </c>
      <c r="BG175" s="409">
        <v>232.42305921123219</v>
      </c>
      <c r="BH175" s="409">
        <v>0</v>
      </c>
      <c r="BI175" s="409">
        <v>0</v>
      </c>
      <c r="BJ175" s="409">
        <v>0</v>
      </c>
      <c r="BK175" s="409">
        <v>0</v>
      </c>
      <c r="BL175" s="409">
        <v>0</v>
      </c>
      <c r="BM175" s="409"/>
      <c r="BN175" s="409"/>
      <c r="BO175" s="409"/>
      <c r="BP175" s="409"/>
      <c r="BQ175" s="409"/>
      <c r="BR175" s="409"/>
      <c r="BS175" s="409">
        <v>4085.4468623999992</v>
      </c>
      <c r="BT175" s="409"/>
      <c r="BU175" s="409"/>
      <c r="BV175" s="409">
        <v>1945.6258753672871</v>
      </c>
      <c r="BW175" s="409"/>
      <c r="BX175" s="409"/>
      <c r="BY175" s="409"/>
      <c r="BZ175" s="409"/>
      <c r="CA175" s="409"/>
      <c r="CB175" s="409"/>
      <c r="CC175" s="409"/>
      <c r="CD175" s="409"/>
      <c r="CE175" s="409"/>
      <c r="CF175" s="409"/>
      <c r="CG175" s="409"/>
      <c r="CH175" s="409"/>
      <c r="CI175" s="409">
        <v>1272.848</v>
      </c>
      <c r="CJ175" s="409">
        <v>-132.7189615000002</v>
      </c>
      <c r="CK175" s="409"/>
      <c r="CL175" s="409"/>
      <c r="CM175" s="409"/>
      <c r="CN175" s="409"/>
      <c r="CO175" s="409">
        <v>-616.47561999999982</v>
      </c>
      <c r="CP175" s="409">
        <v>59.549940000000056</v>
      </c>
      <c r="CQ175" s="409">
        <v>31</v>
      </c>
      <c r="CR175" s="409">
        <v>104.69684017339114</v>
      </c>
      <c r="CS175" s="409">
        <v>0</v>
      </c>
      <c r="CT175" s="409">
        <v>0</v>
      </c>
      <c r="CU175" s="409">
        <v>0</v>
      </c>
      <c r="CV175" s="409">
        <v>0</v>
      </c>
      <c r="CW175" s="409">
        <v>0</v>
      </c>
      <c r="CX175" s="409">
        <v>0</v>
      </c>
      <c r="CY175" s="409">
        <v>0</v>
      </c>
      <c r="CZ175" s="409">
        <v>30.925779773581326</v>
      </c>
      <c r="DA175" s="409">
        <v>0</v>
      </c>
      <c r="DB175" s="409">
        <v>0</v>
      </c>
      <c r="DC175" s="409">
        <v>78.481661256429788</v>
      </c>
      <c r="DD175" s="409">
        <v>0</v>
      </c>
      <c r="DE175" s="409">
        <v>0</v>
      </c>
      <c r="DF175" s="409">
        <v>0</v>
      </c>
      <c r="DG175" s="409">
        <v>10.647278669624114</v>
      </c>
      <c r="DH175" s="409">
        <v>0</v>
      </c>
      <c r="DI175" s="409">
        <v>-1.2773830487958264</v>
      </c>
      <c r="DJ175" s="409"/>
      <c r="DK175" s="409">
        <v>0</v>
      </c>
      <c r="DL175" s="409">
        <v>0</v>
      </c>
      <c r="DM175" s="409">
        <v>0</v>
      </c>
      <c r="DN175" s="409">
        <v>0</v>
      </c>
      <c r="DO175" s="409">
        <v>-0.40109527740976603</v>
      </c>
      <c r="DP175" s="409">
        <v>-0.71185034627488797</v>
      </c>
      <c r="DQ175" s="409">
        <v>0</v>
      </c>
      <c r="DR175" s="409">
        <v>-12.96755085376347</v>
      </c>
      <c r="DS175" s="409"/>
      <c r="DT175" s="409"/>
      <c r="DU175" s="409"/>
      <c r="DV175" s="409">
        <v>2886.2611758057151</v>
      </c>
      <c r="DW175" s="409">
        <v>0</v>
      </c>
      <c r="DX175" s="409">
        <v>0</v>
      </c>
      <c r="DY175" s="409">
        <v>-616.47561999999925</v>
      </c>
      <c r="DZ175" s="409">
        <v>59.549939999999879</v>
      </c>
      <c r="EA175" s="409">
        <v>0</v>
      </c>
      <c r="EB175" s="409">
        <v>0</v>
      </c>
      <c r="EC175" s="409">
        <v>-661.59893031101137</v>
      </c>
      <c r="ED175" s="409">
        <v>0</v>
      </c>
      <c r="EE175" s="409">
        <v>0</v>
      </c>
      <c r="EF175" s="409">
        <v>0</v>
      </c>
      <c r="EG175" s="409">
        <v>0</v>
      </c>
      <c r="EH175" s="409">
        <v>0</v>
      </c>
      <c r="EI175" s="409">
        <v>0</v>
      </c>
      <c r="EJ175" s="409">
        <v>0</v>
      </c>
      <c r="EK175" s="409">
        <v>0</v>
      </c>
      <c r="EL175" s="409">
        <v>0</v>
      </c>
      <c r="EM175" s="409">
        <v>0</v>
      </c>
      <c r="EN175" s="409">
        <v>0</v>
      </c>
      <c r="EO175" s="409">
        <v>0</v>
      </c>
      <c r="EP175" s="409">
        <v>0</v>
      </c>
      <c r="EQ175" s="409">
        <v>0</v>
      </c>
      <c r="ER175" s="409">
        <v>0</v>
      </c>
      <c r="ES175" s="409">
        <v>0</v>
      </c>
      <c r="ET175" s="409">
        <v>0</v>
      </c>
      <c r="EU175" s="409">
        <v>0</v>
      </c>
      <c r="EV175" s="409">
        <v>254</v>
      </c>
      <c r="EW175" s="409">
        <v>0</v>
      </c>
      <c r="EX175" s="409">
        <v>0</v>
      </c>
      <c r="EY175" s="409">
        <v>0</v>
      </c>
      <c r="EZ175" s="409"/>
      <c r="FA175" s="409">
        <v>0</v>
      </c>
      <c r="FB175" s="409"/>
      <c r="FC175" s="409"/>
      <c r="FD175" s="409"/>
      <c r="FE175" s="409"/>
      <c r="FF175" s="409">
        <v>0</v>
      </c>
      <c r="FG175" s="409">
        <v>0</v>
      </c>
      <c r="FH175" s="409">
        <v>0</v>
      </c>
      <c r="FI175" s="409">
        <v>0</v>
      </c>
    </row>
    <row r="176" spans="1:165">
      <c r="A176" s="409">
        <v>174</v>
      </c>
      <c r="B176" s="409" t="s">
        <v>1035</v>
      </c>
      <c r="C176" s="409" t="s">
        <v>2244</v>
      </c>
      <c r="D176" s="409" t="s">
        <v>1991</v>
      </c>
      <c r="E176" s="409" t="s">
        <v>968</v>
      </c>
      <c r="F176" s="409" t="s">
        <v>968</v>
      </c>
      <c r="G176" s="409" t="s">
        <v>1323</v>
      </c>
      <c r="H176" s="409" t="s">
        <v>1323</v>
      </c>
      <c r="I176" s="409" t="s">
        <v>1323</v>
      </c>
      <c r="J176" s="409" t="s">
        <v>2245</v>
      </c>
      <c r="K176" s="835">
        <v>44501</v>
      </c>
      <c r="L176" s="409">
        <v>0</v>
      </c>
      <c r="M176" s="409">
        <v>0</v>
      </c>
      <c r="N176" s="409">
        <v>233.029</v>
      </c>
      <c r="O176" s="409">
        <v>233.029</v>
      </c>
      <c r="P176" s="409">
        <v>233.029</v>
      </c>
      <c r="Q176" s="409">
        <v>233.029</v>
      </c>
      <c r="R176" s="409"/>
      <c r="S176" s="409">
        <v>597.01</v>
      </c>
      <c r="T176" s="409">
        <v>243.39</v>
      </c>
      <c r="U176" s="409"/>
      <c r="V176" s="409">
        <v>195837.5716</v>
      </c>
      <c r="W176" s="409">
        <v>195837.5716</v>
      </c>
      <c r="X176" s="409">
        <v>177400.31711999999</v>
      </c>
      <c r="Y176" s="409">
        <v>0</v>
      </c>
      <c r="Z176" s="409">
        <v>5798.5718702375316</v>
      </c>
      <c r="AA176" s="409">
        <v>0</v>
      </c>
      <c r="AB176" s="409">
        <v>0</v>
      </c>
      <c r="AC176" s="409">
        <v>0</v>
      </c>
      <c r="AD176" s="409">
        <v>27308.450769984687</v>
      </c>
      <c r="AE176" s="409">
        <v>95550.867386962636</v>
      </c>
      <c r="AF176" s="409">
        <v>56716.286268792348</v>
      </c>
      <c r="AG176" s="409">
        <v>0</v>
      </c>
      <c r="AH176" s="409">
        <v>0</v>
      </c>
      <c r="AI176" s="409">
        <v>0</v>
      </c>
      <c r="AJ176" s="409">
        <v>0</v>
      </c>
      <c r="AK176" s="409">
        <v>0</v>
      </c>
      <c r="AL176" s="409">
        <v>2367.3627759551659</v>
      </c>
      <c r="AM176" s="409"/>
      <c r="AN176" s="409">
        <v>400.08083016781217</v>
      </c>
      <c r="AO176" s="409">
        <v>0</v>
      </c>
      <c r="AP176" s="409">
        <v>0</v>
      </c>
      <c r="AQ176" s="409">
        <v>0</v>
      </c>
      <c r="AR176" s="409">
        <v>0</v>
      </c>
      <c r="AS176" s="409">
        <v>0</v>
      </c>
      <c r="AT176" s="409">
        <v>0</v>
      </c>
      <c r="AU176" s="409">
        <v>0</v>
      </c>
      <c r="AV176" s="409">
        <v>0</v>
      </c>
      <c r="AW176" s="409">
        <v>0</v>
      </c>
      <c r="AX176" s="409">
        <v>0</v>
      </c>
      <c r="AY176" s="409">
        <v>0</v>
      </c>
      <c r="AZ176" s="409">
        <v>0</v>
      </c>
      <c r="BA176" s="409"/>
      <c r="BB176" s="409">
        <v>0</v>
      </c>
      <c r="BC176" s="409">
        <v>0</v>
      </c>
      <c r="BD176" s="409">
        <v>0</v>
      </c>
      <c r="BE176" s="409">
        <v>0</v>
      </c>
      <c r="BF176" s="409">
        <v>0</v>
      </c>
      <c r="BG176" s="409">
        <v>7694.4612963395693</v>
      </c>
      <c r="BH176" s="409">
        <v>0</v>
      </c>
      <c r="BI176" s="409">
        <v>51.98</v>
      </c>
      <c r="BJ176" s="409">
        <v>240.47</v>
      </c>
      <c r="BK176" s="409">
        <v>1973.35</v>
      </c>
      <c r="BL176" s="409">
        <v>1994</v>
      </c>
      <c r="BM176" s="409"/>
      <c r="BN176" s="409"/>
      <c r="BO176" s="409"/>
      <c r="BP176" s="409"/>
      <c r="BQ176" s="409"/>
      <c r="BR176" s="409"/>
      <c r="BS176" s="409"/>
      <c r="BT176" s="409"/>
      <c r="BU176" s="409"/>
      <c r="BV176" s="409">
        <v>64410.747565131918</v>
      </c>
      <c r="BW176" s="409"/>
      <c r="BX176" s="409"/>
      <c r="BY176" s="409"/>
      <c r="BZ176" s="409"/>
      <c r="CA176" s="409"/>
      <c r="CB176" s="409"/>
      <c r="CC176" s="409"/>
      <c r="CD176" s="409"/>
      <c r="CE176" s="409"/>
      <c r="CF176" s="409"/>
      <c r="CG176" s="409"/>
      <c r="CH176" s="409"/>
      <c r="CI176" s="409">
        <v>177401.0784</v>
      </c>
      <c r="CJ176" s="409">
        <v>-18436.523200000025</v>
      </c>
      <c r="CK176" s="409"/>
      <c r="CL176" s="409"/>
      <c r="CM176" s="409"/>
      <c r="CN176" s="409"/>
      <c r="CO176" s="409">
        <v>-20408.679819999998</v>
      </c>
      <c r="CP176" s="409">
        <v>1971.4253400000018</v>
      </c>
      <c r="CQ176" s="409">
        <v>30</v>
      </c>
      <c r="CR176" s="409">
        <v>3466.032102395955</v>
      </c>
      <c r="CS176" s="409">
        <v>0</v>
      </c>
      <c r="CT176" s="409">
        <v>0</v>
      </c>
      <c r="CU176" s="409">
        <v>0</v>
      </c>
      <c r="CV176" s="409">
        <v>0</v>
      </c>
      <c r="CW176" s="409">
        <v>0</v>
      </c>
      <c r="CX176" s="409">
        <v>0</v>
      </c>
      <c r="CY176" s="409">
        <v>0</v>
      </c>
      <c r="CZ176" s="409">
        <v>1023.8107024943674</v>
      </c>
      <c r="DA176" s="409">
        <v>0</v>
      </c>
      <c r="DB176" s="409">
        <v>0</v>
      </c>
      <c r="DC176" s="409">
        <v>2598.1677853281071</v>
      </c>
      <c r="DD176" s="409">
        <v>0</v>
      </c>
      <c r="DE176" s="409">
        <v>0</v>
      </c>
      <c r="DF176" s="409">
        <v>0</v>
      </c>
      <c r="DG176" s="409">
        <v>352.48255449692169</v>
      </c>
      <c r="DH176" s="409">
        <v>0</v>
      </c>
      <c r="DI176" s="409">
        <v>-42.288293007222819</v>
      </c>
      <c r="DJ176" s="409"/>
      <c r="DK176" s="409">
        <v>0</v>
      </c>
      <c r="DL176" s="409">
        <v>0</v>
      </c>
      <c r="DM176" s="409">
        <v>0</v>
      </c>
      <c r="DN176" s="409">
        <v>0</v>
      </c>
      <c r="DO176" s="409">
        <v>-13.278424690939119</v>
      </c>
      <c r="DP176" s="409">
        <v>-23.566099494543437</v>
      </c>
      <c r="DQ176" s="409">
        <v>0</v>
      </c>
      <c r="DR176" s="409">
        <v>-429.29612273073553</v>
      </c>
      <c r="DS176" s="409"/>
      <c r="DT176" s="409"/>
      <c r="DU176" s="409"/>
      <c r="DV176" s="409">
        <v>95550.867386962636</v>
      </c>
      <c r="DW176" s="409">
        <v>0</v>
      </c>
      <c r="DX176" s="409">
        <v>0</v>
      </c>
      <c r="DY176" s="409">
        <v>-20408.679820000005</v>
      </c>
      <c r="DZ176" s="409">
        <v>1971.4253400000016</v>
      </c>
      <c r="EA176" s="409">
        <v>0</v>
      </c>
      <c r="EB176" s="409">
        <v>0</v>
      </c>
      <c r="EC176" s="409">
        <v>-21902.505630266329</v>
      </c>
      <c r="ED176" s="409">
        <v>0</v>
      </c>
      <c r="EE176" s="409">
        <v>0</v>
      </c>
      <c r="EF176" s="409">
        <v>0</v>
      </c>
      <c r="EG176" s="409">
        <v>0</v>
      </c>
      <c r="EH176" s="409">
        <v>0</v>
      </c>
      <c r="EI176" s="409">
        <v>0</v>
      </c>
      <c r="EJ176" s="409">
        <v>0</v>
      </c>
      <c r="EK176" s="409">
        <v>0</v>
      </c>
      <c r="EL176" s="409">
        <v>0</v>
      </c>
      <c r="EM176" s="409">
        <v>0</v>
      </c>
      <c r="EN176" s="409">
        <v>0</v>
      </c>
      <c r="EO176" s="409">
        <v>0</v>
      </c>
      <c r="EP176" s="409">
        <v>0</v>
      </c>
      <c r="EQ176" s="409">
        <v>0</v>
      </c>
      <c r="ER176" s="409">
        <v>0</v>
      </c>
      <c r="ES176" s="409">
        <v>0</v>
      </c>
      <c r="ET176" s="409">
        <v>0</v>
      </c>
      <c r="EU176" s="409">
        <v>0</v>
      </c>
      <c r="EV176" s="409">
        <v>254</v>
      </c>
      <c r="EW176" s="409">
        <v>0</v>
      </c>
      <c r="EX176" s="409">
        <v>0</v>
      </c>
      <c r="EY176" s="409">
        <v>0</v>
      </c>
      <c r="EZ176" s="409"/>
      <c r="FA176" s="409">
        <v>0</v>
      </c>
      <c r="FB176" s="409"/>
      <c r="FC176" s="409"/>
      <c r="FD176" s="409"/>
      <c r="FE176" s="409"/>
      <c r="FF176" s="409">
        <v>0</v>
      </c>
      <c r="FG176" s="409">
        <v>0</v>
      </c>
      <c r="FH176" s="409">
        <v>0</v>
      </c>
      <c r="FI176" s="409">
        <v>0</v>
      </c>
    </row>
    <row r="177" spans="1:165">
      <c r="A177" s="409">
        <v>175</v>
      </c>
      <c r="B177" s="409" t="s">
        <v>2246</v>
      </c>
      <c r="C177" s="409" t="s">
        <v>2244</v>
      </c>
      <c r="D177" s="409" t="s">
        <v>1991</v>
      </c>
      <c r="E177" s="409" t="s">
        <v>968</v>
      </c>
      <c r="F177" s="409" t="s">
        <v>968</v>
      </c>
      <c r="G177" s="409" t="s">
        <v>1323</v>
      </c>
      <c r="H177" s="409" t="s">
        <v>1323</v>
      </c>
      <c r="I177" s="409" t="s">
        <v>1323</v>
      </c>
      <c r="J177" s="409" t="s">
        <v>2245</v>
      </c>
      <c r="K177" s="835">
        <v>44501</v>
      </c>
      <c r="L177" s="409">
        <v>0</v>
      </c>
      <c r="M177" s="409">
        <v>0</v>
      </c>
      <c r="N177" s="409">
        <v>2.7759999999999998</v>
      </c>
      <c r="O177" s="409">
        <v>2.7759999999999998</v>
      </c>
      <c r="P177" s="409">
        <v>2.7759999999999998</v>
      </c>
      <c r="Q177" s="409">
        <v>2.7759999999999998</v>
      </c>
      <c r="R177" s="409"/>
      <c r="S177" s="409">
        <v>597.01</v>
      </c>
      <c r="T177" s="409">
        <v>243.39</v>
      </c>
      <c r="U177" s="409"/>
      <c r="V177" s="409">
        <v>2332.9503999999997</v>
      </c>
      <c r="W177" s="409">
        <v>2332.9503999999997</v>
      </c>
      <c r="X177" s="409">
        <v>2113.3132799999998</v>
      </c>
      <c r="Y177" s="409">
        <v>0</v>
      </c>
      <c r="Z177" s="409">
        <v>69.076533443388527</v>
      </c>
      <c r="AA177" s="409">
        <v>0</v>
      </c>
      <c r="AB177" s="409">
        <v>0</v>
      </c>
      <c r="AC177" s="409">
        <v>0</v>
      </c>
      <c r="AD177" s="409">
        <v>325.3168461327881</v>
      </c>
      <c r="AE177" s="409">
        <v>1138.266944741677</v>
      </c>
      <c r="AF177" s="409">
        <v>675.64299156829213</v>
      </c>
      <c r="AG177" s="409">
        <v>0</v>
      </c>
      <c r="AH177" s="409">
        <v>0</v>
      </c>
      <c r="AI177" s="409">
        <v>0</v>
      </c>
      <c r="AJ177" s="409">
        <v>0</v>
      </c>
      <c r="AK177" s="409">
        <v>0</v>
      </c>
      <c r="AL177" s="409">
        <v>28.201636131346483</v>
      </c>
      <c r="AM177" s="409"/>
      <c r="AN177" s="409">
        <v>4.7660350623563863</v>
      </c>
      <c r="AO177" s="409">
        <v>0</v>
      </c>
      <c r="AP177" s="409">
        <v>0</v>
      </c>
      <c r="AQ177" s="409">
        <v>0</v>
      </c>
      <c r="AR177" s="409">
        <v>0</v>
      </c>
      <c r="AS177" s="409">
        <v>0</v>
      </c>
      <c r="AT177" s="409">
        <v>0</v>
      </c>
      <c r="AU177" s="409">
        <v>0</v>
      </c>
      <c r="AV177" s="409">
        <v>0</v>
      </c>
      <c r="AW177" s="409">
        <v>0</v>
      </c>
      <c r="AX177" s="409">
        <v>0</v>
      </c>
      <c r="AY177" s="409">
        <v>0</v>
      </c>
      <c r="AZ177" s="409">
        <v>0</v>
      </c>
      <c r="BA177" s="409"/>
      <c r="BB177" s="409">
        <v>0</v>
      </c>
      <c r="BC177" s="409">
        <v>0</v>
      </c>
      <c r="BD177" s="409">
        <v>0</v>
      </c>
      <c r="BE177" s="409">
        <v>0</v>
      </c>
      <c r="BF177" s="409">
        <v>0</v>
      </c>
      <c r="BG177" s="409">
        <v>91.661658242702174</v>
      </c>
      <c r="BH177" s="409">
        <v>0</v>
      </c>
      <c r="BI177" s="409">
        <v>0</v>
      </c>
      <c r="BJ177" s="409">
        <v>0</v>
      </c>
      <c r="BK177" s="409">
        <v>0</v>
      </c>
      <c r="BL177" s="409">
        <v>11</v>
      </c>
      <c r="BM177" s="409"/>
      <c r="BN177" s="409"/>
      <c r="BO177" s="409"/>
      <c r="BP177" s="409"/>
      <c r="BQ177" s="409"/>
      <c r="BR177" s="409"/>
      <c r="BS177" s="409"/>
      <c r="BT177" s="409"/>
      <c r="BU177" s="409"/>
      <c r="BV177" s="409">
        <v>767.30464981099431</v>
      </c>
      <c r="BW177" s="409"/>
      <c r="BX177" s="409"/>
      <c r="BY177" s="409"/>
      <c r="BZ177" s="409"/>
      <c r="CA177" s="409"/>
      <c r="CB177" s="409"/>
      <c r="CC177" s="409"/>
      <c r="CD177" s="409"/>
      <c r="CE177" s="409"/>
      <c r="CF177" s="409"/>
      <c r="CG177" s="409"/>
      <c r="CH177" s="409"/>
      <c r="CI177" s="409">
        <v>2116.3583999999996</v>
      </c>
      <c r="CJ177" s="409">
        <v>-216.6220000000003</v>
      </c>
      <c r="CK177" s="409"/>
      <c r="CL177" s="409"/>
      <c r="CM177" s="409"/>
      <c r="CN177" s="409"/>
      <c r="CO177" s="409">
        <v>-243.12207999999993</v>
      </c>
      <c r="CP177" s="409">
        <v>23.484960000000019</v>
      </c>
      <c r="CQ177" s="409">
        <v>30</v>
      </c>
      <c r="CR177" s="409">
        <v>41.289732678126711</v>
      </c>
      <c r="CS177" s="409">
        <v>0</v>
      </c>
      <c r="CT177" s="409">
        <v>0</v>
      </c>
      <c r="CU177" s="409">
        <v>0</v>
      </c>
      <c r="CV177" s="409">
        <v>0</v>
      </c>
      <c r="CW177" s="409">
        <v>0</v>
      </c>
      <c r="CX177" s="409">
        <v>0</v>
      </c>
      <c r="CY177" s="409">
        <v>0</v>
      </c>
      <c r="CZ177" s="409">
        <v>12.19632968482199</v>
      </c>
      <c r="DA177" s="409">
        <v>0</v>
      </c>
      <c r="DB177" s="409">
        <v>0</v>
      </c>
      <c r="DC177" s="409">
        <v>30.951142441802631</v>
      </c>
      <c r="DD177" s="409">
        <v>0</v>
      </c>
      <c r="DE177" s="409">
        <v>0</v>
      </c>
      <c r="DF177" s="409">
        <v>0</v>
      </c>
      <c r="DG177" s="409">
        <v>4.1990120168882612</v>
      </c>
      <c r="DH177" s="409">
        <v>0</v>
      </c>
      <c r="DI177" s="409">
        <v>-0.50376691908753912</v>
      </c>
      <c r="DJ177" s="409"/>
      <c r="DK177" s="409">
        <v>0</v>
      </c>
      <c r="DL177" s="409">
        <v>0</v>
      </c>
      <c r="DM177" s="409">
        <v>0</v>
      </c>
      <c r="DN177" s="409">
        <v>0</v>
      </c>
      <c r="DO177" s="409">
        <v>-0.15818162950553827</v>
      </c>
      <c r="DP177" s="409">
        <v>-0.2807354114588847</v>
      </c>
      <c r="DQ177" s="409">
        <v>0</v>
      </c>
      <c r="DR177" s="409">
        <v>-5.1140675053341935</v>
      </c>
      <c r="DS177" s="409"/>
      <c r="DT177" s="409"/>
      <c r="DU177" s="409"/>
      <c r="DV177" s="409">
        <v>1138.266944741677</v>
      </c>
      <c r="DW177" s="409">
        <v>0</v>
      </c>
      <c r="DX177" s="409">
        <v>0</v>
      </c>
      <c r="DY177" s="409">
        <v>-243.12207999999987</v>
      </c>
      <c r="DZ177" s="409">
        <v>23.484960000000001</v>
      </c>
      <c r="EA177" s="409">
        <v>0</v>
      </c>
      <c r="EB177" s="409">
        <v>0</v>
      </c>
      <c r="EC177" s="409">
        <v>-260.91754944500167</v>
      </c>
      <c r="ED177" s="409">
        <v>0</v>
      </c>
      <c r="EE177" s="409">
        <v>0</v>
      </c>
      <c r="EF177" s="409">
        <v>0</v>
      </c>
      <c r="EG177" s="409">
        <v>0</v>
      </c>
      <c r="EH177" s="409">
        <v>0</v>
      </c>
      <c r="EI177" s="409">
        <v>0</v>
      </c>
      <c r="EJ177" s="409">
        <v>0</v>
      </c>
      <c r="EK177" s="409">
        <v>0</v>
      </c>
      <c r="EL177" s="409">
        <v>0</v>
      </c>
      <c r="EM177" s="409">
        <v>0</v>
      </c>
      <c r="EN177" s="409">
        <v>0</v>
      </c>
      <c r="EO177" s="409">
        <v>0</v>
      </c>
      <c r="EP177" s="409">
        <v>0</v>
      </c>
      <c r="EQ177" s="409">
        <v>0</v>
      </c>
      <c r="ER177" s="409">
        <v>0</v>
      </c>
      <c r="ES177" s="409">
        <v>0</v>
      </c>
      <c r="ET177" s="409">
        <v>0</v>
      </c>
      <c r="EU177" s="409">
        <v>0</v>
      </c>
      <c r="EV177" s="409">
        <v>254</v>
      </c>
      <c r="EW177" s="409">
        <v>0</v>
      </c>
      <c r="EX177" s="409">
        <v>0</v>
      </c>
      <c r="EY177" s="409">
        <v>0</v>
      </c>
      <c r="EZ177" s="409"/>
      <c r="FA177" s="409">
        <v>0</v>
      </c>
      <c r="FB177" s="409"/>
      <c r="FC177" s="409"/>
      <c r="FD177" s="409"/>
      <c r="FE177" s="409"/>
      <c r="FF177" s="409">
        <v>0</v>
      </c>
      <c r="FG177" s="409">
        <v>0</v>
      </c>
      <c r="FH177" s="409">
        <v>0</v>
      </c>
      <c r="FI177" s="409">
        <v>0</v>
      </c>
    </row>
    <row r="178" spans="1:165">
      <c r="A178" s="409">
        <v>176</v>
      </c>
      <c r="B178" s="409" t="s">
        <v>1035</v>
      </c>
      <c r="C178" s="409" t="s">
        <v>2244</v>
      </c>
      <c r="D178" s="409" t="s">
        <v>1991</v>
      </c>
      <c r="E178" s="409" t="s">
        <v>968</v>
      </c>
      <c r="F178" s="409" t="s">
        <v>2247</v>
      </c>
      <c r="G178" s="409" t="s">
        <v>1323</v>
      </c>
      <c r="H178" s="409" t="s">
        <v>1323</v>
      </c>
      <c r="I178" s="409" t="s">
        <v>1323</v>
      </c>
      <c r="J178" s="409" t="s">
        <v>2245</v>
      </c>
      <c r="K178" s="835">
        <v>44501</v>
      </c>
      <c r="L178" s="409">
        <v>0</v>
      </c>
      <c r="M178" s="409">
        <v>0</v>
      </c>
      <c r="N178" s="409">
        <v>62.91</v>
      </c>
      <c r="O178" s="409">
        <v>62.91</v>
      </c>
      <c r="P178" s="409">
        <v>62.91</v>
      </c>
      <c r="Q178" s="409">
        <v>62.91</v>
      </c>
      <c r="R178" s="409"/>
      <c r="S178" s="409">
        <v>561.96</v>
      </c>
      <c r="T178" s="409">
        <v>243.39</v>
      </c>
      <c r="U178" s="409"/>
      <c r="V178" s="409">
        <v>50664.568499999994</v>
      </c>
      <c r="W178" s="409">
        <v>50664.568499999994</v>
      </c>
      <c r="X178" s="409">
        <v>45699.082199999997</v>
      </c>
      <c r="Y178" s="409">
        <v>0</v>
      </c>
      <c r="Z178" s="409">
        <v>0</v>
      </c>
      <c r="AA178" s="409">
        <v>0</v>
      </c>
      <c r="AB178" s="409">
        <v>0</v>
      </c>
      <c r="AC178" s="409">
        <v>0</v>
      </c>
      <c r="AD178" s="409">
        <v>7372.3641175121402</v>
      </c>
      <c r="AE178" s="409">
        <v>25795.523592831018</v>
      </c>
      <c r="AF178" s="409">
        <v>15311.491570447139</v>
      </c>
      <c r="AG178" s="409">
        <v>0</v>
      </c>
      <c r="AH178" s="409">
        <v>0</v>
      </c>
      <c r="AI178" s="409">
        <v>0</v>
      </c>
      <c r="AJ178" s="409">
        <v>0</v>
      </c>
      <c r="AK178" s="409">
        <v>0</v>
      </c>
      <c r="AL178" s="409">
        <v>0</v>
      </c>
      <c r="AM178" s="409"/>
      <c r="AN178" s="409">
        <v>108.00838104208944</v>
      </c>
      <c r="AO178" s="409">
        <v>0</v>
      </c>
      <c r="AP178" s="409">
        <v>0</v>
      </c>
      <c r="AQ178" s="409">
        <v>0</v>
      </c>
      <c r="AR178" s="409">
        <v>0</v>
      </c>
      <c r="AS178" s="409">
        <v>0</v>
      </c>
      <c r="AT178" s="409">
        <v>0</v>
      </c>
      <c r="AU178" s="409">
        <v>0</v>
      </c>
      <c r="AV178" s="409">
        <v>0</v>
      </c>
      <c r="AW178" s="409">
        <v>0</v>
      </c>
      <c r="AX178" s="409">
        <v>0</v>
      </c>
      <c r="AY178" s="409">
        <v>0</v>
      </c>
      <c r="AZ178" s="409">
        <v>0</v>
      </c>
      <c r="BA178" s="409"/>
      <c r="BB178" s="409">
        <v>0</v>
      </c>
      <c r="BC178" s="409">
        <v>0</v>
      </c>
      <c r="BD178" s="409">
        <v>0</v>
      </c>
      <c r="BE178" s="409">
        <v>0</v>
      </c>
      <c r="BF178" s="409">
        <v>0</v>
      </c>
      <c r="BG178" s="409">
        <v>2077.2460086629658</v>
      </c>
      <c r="BH178" s="409">
        <v>0</v>
      </c>
      <c r="BI178" s="409">
        <v>0</v>
      </c>
      <c r="BJ178" s="409">
        <v>0</v>
      </c>
      <c r="BK178" s="409">
        <v>0</v>
      </c>
      <c r="BL178" s="409">
        <v>133</v>
      </c>
      <c r="BM178" s="409"/>
      <c r="BN178" s="409"/>
      <c r="BO178" s="409"/>
      <c r="BP178" s="409"/>
      <c r="BQ178" s="409"/>
      <c r="BR178" s="409"/>
      <c r="BS178" s="409"/>
      <c r="BT178" s="409">
        <v>29704.2147</v>
      </c>
      <c r="BU178" s="409"/>
      <c r="BV178" s="409">
        <v>17388.737579110104</v>
      </c>
      <c r="BW178" s="409"/>
      <c r="BX178" s="409"/>
      <c r="BY178" s="409"/>
      <c r="BZ178" s="409"/>
      <c r="CA178" s="409"/>
      <c r="CB178" s="409"/>
      <c r="CC178" s="409"/>
      <c r="CD178" s="409"/>
      <c r="CE178" s="409"/>
      <c r="CF178" s="409"/>
      <c r="CG178" s="409"/>
      <c r="CH178" s="409"/>
      <c r="CI178" s="409">
        <v>15994.867499999998</v>
      </c>
      <c r="CJ178" s="409">
        <v>-1738.2332999999981</v>
      </c>
      <c r="CK178" s="409"/>
      <c r="CL178" s="409"/>
      <c r="CM178" s="409"/>
      <c r="CN178" s="409"/>
      <c r="CO178" s="409">
        <v>-5497.7049000000025</v>
      </c>
      <c r="CP178" s="409">
        <v>532.21860000000049</v>
      </c>
      <c r="CQ178" s="409">
        <v>30</v>
      </c>
      <c r="CR178" s="409">
        <v>947.6011152744104</v>
      </c>
      <c r="CS178" s="409">
        <v>0</v>
      </c>
      <c r="CT178" s="409">
        <v>0</v>
      </c>
      <c r="CU178" s="409">
        <v>0</v>
      </c>
      <c r="CV178" s="409">
        <v>0</v>
      </c>
      <c r="CW178" s="409">
        <v>0</v>
      </c>
      <c r="CX178" s="409">
        <v>0</v>
      </c>
      <c r="CY178" s="409">
        <v>0</v>
      </c>
      <c r="CZ178" s="409">
        <v>276.39448864270435</v>
      </c>
      <c r="DA178" s="409">
        <v>0</v>
      </c>
      <c r="DB178" s="409">
        <v>0</v>
      </c>
      <c r="DC178" s="409">
        <v>701.41800108566531</v>
      </c>
      <c r="DD178" s="409">
        <v>0</v>
      </c>
      <c r="DE178" s="409">
        <v>0</v>
      </c>
      <c r="DF178" s="409">
        <v>0</v>
      </c>
      <c r="DG178" s="409">
        <v>95.15844595909266</v>
      </c>
      <c r="DH178" s="409">
        <v>0</v>
      </c>
      <c r="DI178" s="409">
        <v>0</v>
      </c>
      <c r="DJ178" s="409"/>
      <c r="DK178" s="409">
        <v>0</v>
      </c>
      <c r="DL178" s="409">
        <v>0</v>
      </c>
      <c r="DM178" s="409">
        <v>0</v>
      </c>
      <c r="DN178" s="409">
        <v>0</v>
      </c>
      <c r="DO178" s="409">
        <v>0</v>
      </c>
      <c r="DP178" s="409">
        <v>-6.3620550197688885</v>
      </c>
      <c r="DQ178" s="409">
        <v>0</v>
      </c>
      <c r="DR178" s="409">
        <v>-119.00776539327863</v>
      </c>
      <c r="DS178" s="409"/>
      <c r="DT178" s="409"/>
      <c r="DU178" s="409"/>
      <c r="DV178" s="409">
        <v>25795.523592831018</v>
      </c>
      <c r="DW178" s="409">
        <v>0</v>
      </c>
      <c r="DX178" s="409">
        <v>0</v>
      </c>
      <c r="DY178" s="409">
        <v>-5497.7049000000006</v>
      </c>
      <c r="DZ178" s="409">
        <v>532.21860000000015</v>
      </c>
      <c r="EA178" s="409">
        <v>0</v>
      </c>
      <c r="EB178" s="409">
        <v>0</v>
      </c>
      <c r="EC178" s="409">
        <v>-5912.9405747784804</v>
      </c>
      <c r="ED178" s="409">
        <v>0</v>
      </c>
      <c r="EE178" s="409">
        <v>0</v>
      </c>
      <c r="EF178" s="409">
        <v>0</v>
      </c>
      <c r="EG178" s="409">
        <v>0</v>
      </c>
      <c r="EH178" s="409">
        <v>0</v>
      </c>
      <c r="EI178" s="409">
        <v>0</v>
      </c>
      <c r="EJ178" s="409">
        <v>0</v>
      </c>
      <c r="EK178" s="409">
        <v>0</v>
      </c>
      <c r="EL178" s="409">
        <v>0</v>
      </c>
      <c r="EM178" s="409">
        <v>0</v>
      </c>
      <c r="EN178" s="409">
        <v>0</v>
      </c>
      <c r="EO178" s="409">
        <v>0</v>
      </c>
      <c r="EP178" s="409">
        <v>0</v>
      </c>
      <c r="EQ178" s="409">
        <v>0</v>
      </c>
      <c r="ER178" s="409">
        <v>0</v>
      </c>
      <c r="ES178" s="409">
        <v>0</v>
      </c>
      <c r="ET178" s="409">
        <v>0</v>
      </c>
      <c r="EU178" s="409">
        <v>0</v>
      </c>
      <c r="EV178" s="409">
        <v>254</v>
      </c>
      <c r="EW178" s="409">
        <v>0</v>
      </c>
      <c r="EX178" s="409">
        <v>0</v>
      </c>
      <c r="EY178" s="409">
        <v>0</v>
      </c>
      <c r="EZ178" s="409"/>
      <c r="FA178" s="409">
        <v>0</v>
      </c>
      <c r="FB178" s="409"/>
      <c r="FC178" s="409"/>
      <c r="FD178" s="409"/>
      <c r="FE178" s="409"/>
      <c r="FF178" s="409">
        <v>0</v>
      </c>
      <c r="FG178" s="409">
        <v>0</v>
      </c>
      <c r="FH178" s="409">
        <v>0</v>
      </c>
      <c r="FI178" s="409">
        <v>0</v>
      </c>
    </row>
    <row r="179" spans="1:165">
      <c r="A179" s="409">
        <v>177</v>
      </c>
      <c r="B179" s="409" t="s">
        <v>1035</v>
      </c>
      <c r="C179" s="409" t="s">
        <v>2244</v>
      </c>
      <c r="D179" s="409" t="s">
        <v>1991</v>
      </c>
      <c r="E179" s="409" t="s">
        <v>968</v>
      </c>
      <c r="F179" s="409" t="s">
        <v>2248</v>
      </c>
      <c r="G179" s="409" t="s">
        <v>1323</v>
      </c>
      <c r="H179" s="409" t="s">
        <v>1323</v>
      </c>
      <c r="I179" s="409" t="s">
        <v>1323</v>
      </c>
      <c r="J179" s="409" t="s">
        <v>2245</v>
      </c>
      <c r="K179" s="835">
        <v>44501</v>
      </c>
      <c r="L179" s="409">
        <v>0</v>
      </c>
      <c r="M179" s="409">
        <v>0</v>
      </c>
      <c r="N179" s="409">
        <v>108.404</v>
      </c>
      <c r="O179" s="409">
        <v>108.404</v>
      </c>
      <c r="P179" s="409">
        <v>108.404</v>
      </c>
      <c r="Q179" s="409">
        <v>108.404</v>
      </c>
      <c r="R179" s="409"/>
      <c r="S179" s="409">
        <v>561.96</v>
      </c>
      <c r="T179" s="409">
        <v>243.39</v>
      </c>
      <c r="U179" s="409"/>
      <c r="V179" s="409">
        <v>87303.161399999997</v>
      </c>
      <c r="W179" s="409">
        <v>87303.161399999997</v>
      </c>
      <c r="X179" s="409">
        <v>78746.833679999996</v>
      </c>
      <c r="Y179" s="409">
        <v>0</v>
      </c>
      <c r="Z179" s="409">
        <v>0</v>
      </c>
      <c r="AA179" s="409">
        <v>0</v>
      </c>
      <c r="AB179" s="409">
        <v>0</v>
      </c>
      <c r="AC179" s="409">
        <v>0</v>
      </c>
      <c r="AD179" s="409">
        <v>12703.763468364108</v>
      </c>
      <c r="AE179" s="409">
        <v>44449.816238392203</v>
      </c>
      <c r="AF179" s="409">
        <v>26384.150885435571</v>
      </c>
      <c r="AG179" s="409">
        <v>0</v>
      </c>
      <c r="AH179" s="409">
        <v>0</v>
      </c>
      <c r="AI179" s="409">
        <v>0</v>
      </c>
      <c r="AJ179" s="409">
        <v>0</v>
      </c>
      <c r="AK179" s="409">
        <v>0</v>
      </c>
      <c r="AL179" s="409">
        <v>0</v>
      </c>
      <c r="AM179" s="409"/>
      <c r="AN179" s="409">
        <v>186.1157294307211</v>
      </c>
      <c r="AO179" s="409">
        <v>0</v>
      </c>
      <c r="AP179" s="409">
        <v>0</v>
      </c>
      <c r="AQ179" s="409">
        <v>0</v>
      </c>
      <c r="AR179" s="409">
        <v>0</v>
      </c>
      <c r="AS179" s="409">
        <v>0</v>
      </c>
      <c r="AT179" s="409">
        <v>0</v>
      </c>
      <c r="AU179" s="409">
        <v>0</v>
      </c>
      <c r="AV179" s="409">
        <v>0</v>
      </c>
      <c r="AW179" s="409">
        <v>0</v>
      </c>
      <c r="AX179" s="409">
        <v>0</v>
      </c>
      <c r="AY179" s="409">
        <v>0</v>
      </c>
      <c r="AZ179" s="409">
        <v>0</v>
      </c>
      <c r="BA179" s="409"/>
      <c r="BB179" s="409">
        <v>0</v>
      </c>
      <c r="BC179" s="409">
        <v>0</v>
      </c>
      <c r="BD179" s="409">
        <v>0</v>
      </c>
      <c r="BE179" s="409">
        <v>0</v>
      </c>
      <c r="BF179" s="409">
        <v>0</v>
      </c>
      <c r="BG179" s="409">
        <v>3579.4273775727256</v>
      </c>
      <c r="BH179" s="409">
        <v>0</v>
      </c>
      <c r="BI179" s="409">
        <v>0</v>
      </c>
      <c r="BJ179" s="409">
        <v>0</v>
      </c>
      <c r="BK179" s="409">
        <v>0</v>
      </c>
      <c r="BL179" s="409">
        <v>1049</v>
      </c>
      <c r="BM179" s="409"/>
      <c r="BN179" s="409"/>
      <c r="BO179" s="409"/>
      <c r="BP179" s="409"/>
      <c r="BQ179" s="409"/>
      <c r="BR179" s="409"/>
      <c r="BS179" s="409"/>
      <c r="BT179" s="409">
        <v>31498.950279999997</v>
      </c>
      <c r="BU179" s="409"/>
      <c r="BV179" s="409">
        <v>29963.578263008298</v>
      </c>
      <c r="BW179" s="409"/>
      <c r="BX179" s="409"/>
      <c r="BY179" s="409"/>
      <c r="BZ179" s="409"/>
      <c r="CA179" s="409"/>
      <c r="CB179" s="409"/>
      <c r="CC179" s="409"/>
      <c r="CD179" s="409"/>
      <c r="CE179" s="409"/>
      <c r="CF179" s="409"/>
      <c r="CG179" s="409"/>
      <c r="CH179" s="409"/>
      <c r="CI179" s="409">
        <v>47246.140000000007</v>
      </c>
      <c r="CJ179" s="409">
        <v>-5135.7868400000007</v>
      </c>
      <c r="CK179" s="409"/>
      <c r="CL179" s="409"/>
      <c r="CM179" s="409"/>
      <c r="CN179" s="409"/>
      <c r="CO179" s="409">
        <v>-9473.4255600000051</v>
      </c>
      <c r="CP179" s="409">
        <v>917.09784000000082</v>
      </c>
      <c r="CQ179" s="409">
        <v>30</v>
      </c>
      <c r="CR179" s="409">
        <v>1632.8684040726075</v>
      </c>
      <c r="CS179" s="409">
        <v>0</v>
      </c>
      <c r="CT179" s="409">
        <v>0</v>
      </c>
      <c r="CU179" s="409">
        <v>0</v>
      </c>
      <c r="CV179" s="409">
        <v>0</v>
      </c>
      <c r="CW179" s="409">
        <v>0</v>
      </c>
      <c r="CX179" s="409">
        <v>0</v>
      </c>
      <c r="CY179" s="409">
        <v>0</v>
      </c>
      <c r="CZ179" s="409">
        <v>476.2719463809226</v>
      </c>
      <c r="DA179" s="409">
        <v>0</v>
      </c>
      <c r="DB179" s="409">
        <v>0</v>
      </c>
      <c r="DC179" s="409">
        <v>1208.6554918087822</v>
      </c>
      <c r="DD179" s="409">
        <v>0</v>
      </c>
      <c r="DE179" s="409">
        <v>0</v>
      </c>
      <c r="DF179" s="409">
        <v>0</v>
      </c>
      <c r="DG179" s="409">
        <v>163.97323439436423</v>
      </c>
      <c r="DH179" s="409">
        <v>0</v>
      </c>
      <c r="DI179" s="409">
        <v>0</v>
      </c>
      <c r="DJ179" s="409"/>
      <c r="DK179" s="409">
        <v>0</v>
      </c>
      <c r="DL179" s="409">
        <v>0</v>
      </c>
      <c r="DM179" s="409">
        <v>0</v>
      </c>
      <c r="DN179" s="409">
        <v>0</v>
      </c>
      <c r="DO179" s="409">
        <v>0</v>
      </c>
      <c r="DP179" s="409">
        <v>-10.962839172834634</v>
      </c>
      <c r="DQ179" s="409">
        <v>0</v>
      </c>
      <c r="DR179" s="409">
        <v>-205.06942933862624</v>
      </c>
      <c r="DS179" s="409"/>
      <c r="DT179" s="409"/>
      <c r="DU179" s="409"/>
      <c r="DV179" s="409">
        <v>44449.816238392203</v>
      </c>
      <c r="DW179" s="409">
        <v>0</v>
      </c>
      <c r="DX179" s="409">
        <v>0</v>
      </c>
      <c r="DY179" s="409">
        <v>-9473.4255600000033</v>
      </c>
      <c r="DZ179" s="409">
        <v>917.09784000000218</v>
      </c>
      <c r="EA179" s="409">
        <v>0</v>
      </c>
      <c r="EB179" s="409">
        <v>0</v>
      </c>
      <c r="EC179" s="409">
        <v>-10188.943094393355</v>
      </c>
      <c r="ED179" s="409">
        <v>0</v>
      </c>
      <c r="EE179" s="409">
        <v>0</v>
      </c>
      <c r="EF179" s="409">
        <v>0</v>
      </c>
      <c r="EG179" s="409">
        <v>0</v>
      </c>
      <c r="EH179" s="409">
        <v>0</v>
      </c>
      <c r="EI179" s="409">
        <v>0</v>
      </c>
      <c r="EJ179" s="409">
        <v>0</v>
      </c>
      <c r="EK179" s="409">
        <v>0</v>
      </c>
      <c r="EL179" s="409">
        <v>0</v>
      </c>
      <c r="EM179" s="409">
        <v>0</v>
      </c>
      <c r="EN179" s="409">
        <v>0</v>
      </c>
      <c r="EO179" s="409">
        <v>0</v>
      </c>
      <c r="EP179" s="409">
        <v>0</v>
      </c>
      <c r="EQ179" s="409">
        <v>0</v>
      </c>
      <c r="ER179" s="409">
        <v>0</v>
      </c>
      <c r="ES179" s="409">
        <v>0</v>
      </c>
      <c r="ET179" s="409">
        <v>0</v>
      </c>
      <c r="EU179" s="409">
        <v>0</v>
      </c>
      <c r="EV179" s="409">
        <v>254</v>
      </c>
      <c r="EW179" s="409">
        <v>0</v>
      </c>
      <c r="EX179" s="409">
        <v>0</v>
      </c>
      <c r="EY179" s="409">
        <v>0</v>
      </c>
      <c r="EZ179" s="409"/>
      <c r="FA179" s="409">
        <v>0</v>
      </c>
      <c r="FB179" s="409"/>
      <c r="FC179" s="409"/>
      <c r="FD179" s="409"/>
      <c r="FE179" s="409"/>
      <c r="FF179" s="409">
        <v>0</v>
      </c>
      <c r="FG179" s="409">
        <v>0</v>
      </c>
      <c r="FH179" s="409">
        <v>0</v>
      </c>
      <c r="FI179" s="409">
        <v>0</v>
      </c>
    </row>
    <row r="180" spans="1:165">
      <c r="A180" s="409">
        <v>178</v>
      </c>
      <c r="B180" s="409" t="s">
        <v>1035</v>
      </c>
      <c r="C180" s="409" t="s">
        <v>2244</v>
      </c>
      <c r="D180" s="409" t="s">
        <v>1991</v>
      </c>
      <c r="E180" s="409" t="s">
        <v>968</v>
      </c>
      <c r="F180" s="409" t="s">
        <v>2249</v>
      </c>
      <c r="G180" s="409" t="s">
        <v>1323</v>
      </c>
      <c r="H180" s="409" t="s">
        <v>1323</v>
      </c>
      <c r="I180" s="409" t="s">
        <v>1323</v>
      </c>
      <c r="J180" s="409" t="s">
        <v>2245</v>
      </c>
      <c r="K180" s="835">
        <v>44501</v>
      </c>
      <c r="L180" s="409">
        <v>0</v>
      </c>
      <c r="M180" s="409">
        <v>0</v>
      </c>
      <c r="N180" s="409">
        <v>45.292999999999999</v>
      </c>
      <c r="O180" s="409">
        <v>45.292999999999999</v>
      </c>
      <c r="P180" s="409">
        <v>45.292999999999999</v>
      </c>
      <c r="Q180" s="409">
        <v>45.292999999999999</v>
      </c>
      <c r="R180" s="409"/>
      <c r="S180" s="409">
        <v>561.96</v>
      </c>
      <c r="T180" s="409">
        <v>243.39</v>
      </c>
      <c r="U180" s="409"/>
      <c r="V180" s="409">
        <v>36476.717550000001</v>
      </c>
      <c r="W180" s="409">
        <v>36476.717550000001</v>
      </c>
      <c r="X180" s="409">
        <v>32901.74106</v>
      </c>
      <c r="Y180" s="409">
        <v>0</v>
      </c>
      <c r="Z180" s="409">
        <v>0</v>
      </c>
      <c r="AA180" s="409">
        <v>0</v>
      </c>
      <c r="AB180" s="409">
        <v>0</v>
      </c>
      <c r="AC180" s="409">
        <v>0</v>
      </c>
      <c r="AD180" s="409">
        <v>5307.8443486643991</v>
      </c>
      <c r="AE180" s="409">
        <v>18571.874902083855</v>
      </c>
      <c r="AF180" s="409">
        <v>11023.738478783378</v>
      </c>
      <c r="AG180" s="409">
        <v>0</v>
      </c>
      <c r="AH180" s="409">
        <v>0</v>
      </c>
      <c r="AI180" s="409">
        <v>0</v>
      </c>
      <c r="AJ180" s="409">
        <v>0</v>
      </c>
      <c r="AK180" s="409">
        <v>0</v>
      </c>
      <c r="AL180" s="409">
        <v>0</v>
      </c>
      <c r="AM180" s="409"/>
      <c r="AN180" s="409">
        <v>77.762257233180051</v>
      </c>
      <c r="AO180" s="409">
        <v>0</v>
      </c>
      <c r="AP180" s="409">
        <v>0</v>
      </c>
      <c r="AQ180" s="409">
        <v>0</v>
      </c>
      <c r="AR180" s="409">
        <v>0</v>
      </c>
      <c r="AS180" s="409">
        <v>0</v>
      </c>
      <c r="AT180" s="409">
        <v>0</v>
      </c>
      <c r="AU180" s="409">
        <v>0</v>
      </c>
      <c r="AV180" s="409">
        <v>0</v>
      </c>
      <c r="AW180" s="409">
        <v>0</v>
      </c>
      <c r="AX180" s="409">
        <v>0</v>
      </c>
      <c r="AY180" s="409">
        <v>0</v>
      </c>
      <c r="AZ180" s="409">
        <v>0</v>
      </c>
      <c r="BA180" s="409"/>
      <c r="BB180" s="409">
        <v>0</v>
      </c>
      <c r="BC180" s="409">
        <v>0</v>
      </c>
      <c r="BD180" s="409">
        <v>0</v>
      </c>
      <c r="BE180" s="409">
        <v>0</v>
      </c>
      <c r="BF180" s="409">
        <v>0</v>
      </c>
      <c r="BG180" s="409">
        <v>1495.5444837127916</v>
      </c>
      <c r="BH180" s="409">
        <v>0</v>
      </c>
      <c r="BI180" s="409">
        <v>0</v>
      </c>
      <c r="BJ180" s="409">
        <v>0</v>
      </c>
      <c r="BK180" s="409">
        <v>0</v>
      </c>
      <c r="BL180" s="409">
        <v>805</v>
      </c>
      <c r="BM180" s="409"/>
      <c r="BN180" s="409"/>
      <c r="BO180" s="409"/>
      <c r="BP180" s="409"/>
      <c r="BQ180" s="409"/>
      <c r="BR180" s="409"/>
      <c r="BS180" s="409"/>
      <c r="BT180" s="409">
        <v>3290.0835199999992</v>
      </c>
      <c r="BU180" s="409"/>
      <c r="BV180" s="409">
        <v>12519.282962496171</v>
      </c>
      <c r="BW180" s="409"/>
      <c r="BX180" s="409"/>
      <c r="BY180" s="409"/>
      <c r="BZ180" s="409"/>
      <c r="CA180" s="409"/>
      <c r="CB180" s="409"/>
      <c r="CC180" s="409"/>
      <c r="CD180" s="409"/>
      <c r="CE180" s="409"/>
      <c r="CF180" s="409"/>
      <c r="CG180" s="409"/>
      <c r="CH180" s="409"/>
      <c r="CI180" s="409">
        <v>29609.696199999998</v>
      </c>
      <c r="CJ180" s="409">
        <v>-3219.6060599999983</v>
      </c>
      <c r="CK180" s="409"/>
      <c r="CL180" s="409"/>
      <c r="CM180" s="409"/>
      <c r="CN180" s="409"/>
      <c r="CO180" s="409">
        <v>-3958.155270000002</v>
      </c>
      <c r="CP180" s="409">
        <v>383.17878000000036</v>
      </c>
      <c r="CQ180" s="409">
        <v>30</v>
      </c>
      <c r="CR180" s="409">
        <v>682.23966482473406</v>
      </c>
      <c r="CS180" s="409">
        <v>0</v>
      </c>
      <c r="CT180" s="409">
        <v>0</v>
      </c>
      <c r="CU180" s="409">
        <v>0</v>
      </c>
      <c r="CV180" s="409">
        <v>0</v>
      </c>
      <c r="CW180" s="409">
        <v>0</v>
      </c>
      <c r="CX180" s="409">
        <v>0</v>
      </c>
      <c r="CY180" s="409">
        <v>0</v>
      </c>
      <c r="CZ180" s="409">
        <v>198.99436614360275</v>
      </c>
      <c r="DA180" s="409">
        <v>0</v>
      </c>
      <c r="DB180" s="409">
        <v>0</v>
      </c>
      <c r="DC180" s="409">
        <v>504.9964317783033</v>
      </c>
      <c r="DD180" s="409">
        <v>0</v>
      </c>
      <c r="DE180" s="409">
        <v>0</v>
      </c>
      <c r="DF180" s="409">
        <v>0</v>
      </c>
      <c r="DG180" s="409">
        <v>68.510753343271062</v>
      </c>
      <c r="DH180" s="409">
        <v>0</v>
      </c>
      <c r="DI180" s="409">
        <v>0</v>
      </c>
      <c r="DJ180" s="409"/>
      <c r="DK180" s="409">
        <v>0</v>
      </c>
      <c r="DL180" s="409">
        <v>0</v>
      </c>
      <c r="DM180" s="409">
        <v>0</v>
      </c>
      <c r="DN180" s="409">
        <v>0</v>
      </c>
      <c r="DO180" s="409">
        <v>0</v>
      </c>
      <c r="DP180" s="409">
        <v>-4.5804571293974305</v>
      </c>
      <c r="DQ180" s="409">
        <v>0</v>
      </c>
      <c r="DR180" s="409">
        <v>-85.681429311043871</v>
      </c>
      <c r="DS180" s="409"/>
      <c r="DT180" s="409"/>
      <c r="DU180" s="409"/>
      <c r="DV180" s="409">
        <v>18571.874902083855</v>
      </c>
      <c r="DW180" s="409">
        <v>0</v>
      </c>
      <c r="DX180" s="409">
        <v>0</v>
      </c>
      <c r="DY180" s="409">
        <v>-3958.1552699999993</v>
      </c>
      <c r="DZ180" s="409">
        <v>383.17878000000019</v>
      </c>
      <c r="EA180" s="409">
        <v>0</v>
      </c>
      <c r="EB180" s="409">
        <v>0</v>
      </c>
      <c r="EC180" s="409">
        <v>-4257.110434802762</v>
      </c>
      <c r="ED180" s="409">
        <v>0</v>
      </c>
      <c r="EE180" s="409">
        <v>0</v>
      </c>
      <c r="EF180" s="409">
        <v>0</v>
      </c>
      <c r="EG180" s="409">
        <v>0</v>
      </c>
      <c r="EH180" s="409">
        <v>0</v>
      </c>
      <c r="EI180" s="409">
        <v>0</v>
      </c>
      <c r="EJ180" s="409">
        <v>0</v>
      </c>
      <c r="EK180" s="409">
        <v>0</v>
      </c>
      <c r="EL180" s="409">
        <v>0</v>
      </c>
      <c r="EM180" s="409">
        <v>0</v>
      </c>
      <c r="EN180" s="409">
        <v>0</v>
      </c>
      <c r="EO180" s="409">
        <v>0</v>
      </c>
      <c r="EP180" s="409">
        <v>0</v>
      </c>
      <c r="EQ180" s="409">
        <v>0</v>
      </c>
      <c r="ER180" s="409">
        <v>0</v>
      </c>
      <c r="ES180" s="409">
        <v>0</v>
      </c>
      <c r="ET180" s="409">
        <v>0</v>
      </c>
      <c r="EU180" s="409">
        <v>0</v>
      </c>
      <c r="EV180" s="409">
        <v>254</v>
      </c>
      <c r="EW180" s="409">
        <v>0</v>
      </c>
      <c r="EX180" s="409">
        <v>0</v>
      </c>
      <c r="EY180" s="409">
        <v>0</v>
      </c>
      <c r="EZ180" s="409"/>
      <c r="FA180" s="409">
        <v>0</v>
      </c>
      <c r="FB180" s="409"/>
      <c r="FC180" s="409"/>
      <c r="FD180" s="409"/>
      <c r="FE180" s="409"/>
      <c r="FF180" s="409">
        <v>0</v>
      </c>
      <c r="FG180" s="409">
        <v>0</v>
      </c>
      <c r="FH180" s="409">
        <v>0</v>
      </c>
      <c r="FI180" s="409">
        <v>0</v>
      </c>
    </row>
    <row r="181" spans="1:165">
      <c r="A181" s="409">
        <v>179</v>
      </c>
      <c r="B181" s="409" t="s">
        <v>1035</v>
      </c>
      <c r="C181" s="409" t="s">
        <v>2244</v>
      </c>
      <c r="D181" s="409" t="s">
        <v>1991</v>
      </c>
      <c r="E181" s="409" t="s">
        <v>968</v>
      </c>
      <c r="F181" s="409" t="s">
        <v>2250</v>
      </c>
      <c r="G181" s="409" t="s">
        <v>1323</v>
      </c>
      <c r="H181" s="409" t="s">
        <v>1323</v>
      </c>
      <c r="I181" s="409" t="s">
        <v>1323</v>
      </c>
      <c r="J181" s="409" t="s">
        <v>2245</v>
      </c>
      <c r="K181" s="835">
        <v>44501</v>
      </c>
      <c r="L181" s="409">
        <v>0</v>
      </c>
      <c r="M181" s="409">
        <v>0</v>
      </c>
      <c r="N181" s="409">
        <v>10.648999999999999</v>
      </c>
      <c r="O181" s="409">
        <v>10.648999999999999</v>
      </c>
      <c r="P181" s="409">
        <v>10.648999999999999</v>
      </c>
      <c r="Q181" s="409">
        <v>10.648999999999999</v>
      </c>
      <c r="R181" s="409"/>
      <c r="S181" s="409">
        <v>561.96</v>
      </c>
      <c r="T181" s="409">
        <v>243.39</v>
      </c>
      <c r="U181" s="409"/>
      <c r="V181" s="409">
        <v>8576.1721499999985</v>
      </c>
      <c r="W181" s="409">
        <v>8576.1721499999985</v>
      </c>
      <c r="X181" s="409">
        <v>7735.6465799999996</v>
      </c>
      <c r="Y181" s="409">
        <v>0</v>
      </c>
      <c r="Z181" s="409">
        <v>0</v>
      </c>
      <c r="AA181" s="409">
        <v>0</v>
      </c>
      <c r="AB181" s="409">
        <v>0</v>
      </c>
      <c r="AC181" s="409">
        <v>0</v>
      </c>
      <c r="AD181" s="409">
        <v>1247.9463596786961</v>
      </c>
      <c r="AE181" s="409">
        <v>4366.5002501996105</v>
      </c>
      <c r="AF181" s="409">
        <v>2591.830769888596</v>
      </c>
      <c r="AG181" s="409">
        <v>0</v>
      </c>
      <c r="AH181" s="409">
        <v>0</v>
      </c>
      <c r="AI181" s="409">
        <v>0</v>
      </c>
      <c r="AJ181" s="409">
        <v>0</v>
      </c>
      <c r="AK181" s="409">
        <v>0</v>
      </c>
      <c r="AL181" s="409">
        <v>0</v>
      </c>
      <c r="AM181" s="409"/>
      <c r="AN181" s="409">
        <v>18.28296375325402</v>
      </c>
      <c r="AO181" s="409">
        <v>0</v>
      </c>
      <c r="AP181" s="409">
        <v>0</v>
      </c>
      <c r="AQ181" s="409">
        <v>0</v>
      </c>
      <c r="AR181" s="409">
        <v>0</v>
      </c>
      <c r="AS181" s="409">
        <v>0</v>
      </c>
      <c r="AT181" s="409">
        <v>0</v>
      </c>
      <c r="AU181" s="409">
        <v>0</v>
      </c>
      <c r="AV181" s="409">
        <v>0</v>
      </c>
      <c r="AW181" s="409">
        <v>0</v>
      </c>
      <c r="AX181" s="409">
        <v>0</v>
      </c>
      <c r="AY181" s="409">
        <v>0</v>
      </c>
      <c r="AZ181" s="409">
        <v>0</v>
      </c>
      <c r="BA181" s="409"/>
      <c r="BB181" s="409">
        <v>0</v>
      </c>
      <c r="BC181" s="409">
        <v>0</v>
      </c>
      <c r="BD181" s="409">
        <v>0</v>
      </c>
      <c r="BE181" s="409">
        <v>0</v>
      </c>
      <c r="BF181" s="409">
        <v>0</v>
      </c>
      <c r="BG181" s="409">
        <v>351.62283812195079</v>
      </c>
      <c r="BH181" s="409">
        <v>0</v>
      </c>
      <c r="BI181" s="409">
        <v>53.75</v>
      </c>
      <c r="BJ181" s="409">
        <v>248.27</v>
      </c>
      <c r="BK181" s="409">
        <v>1316.12</v>
      </c>
      <c r="BL181" s="409">
        <v>110</v>
      </c>
      <c r="BM181" s="409"/>
      <c r="BN181" s="409"/>
      <c r="BO181" s="409"/>
      <c r="BP181" s="409"/>
      <c r="BQ181" s="409"/>
      <c r="BR181" s="409"/>
      <c r="BS181" s="409"/>
      <c r="BT181" s="409"/>
      <c r="BU181" s="409"/>
      <c r="BV181" s="409">
        <v>2943.4536080105468</v>
      </c>
      <c r="BW181" s="409"/>
      <c r="BX181" s="409"/>
      <c r="BY181" s="409"/>
      <c r="BZ181" s="409"/>
      <c r="CA181" s="409"/>
      <c r="CB181" s="409"/>
      <c r="CC181" s="409"/>
      <c r="CD181" s="409"/>
      <c r="CE181" s="409"/>
      <c r="CF181" s="409"/>
      <c r="CG181" s="409"/>
      <c r="CH181" s="409"/>
      <c r="CI181" s="409">
        <v>7736.3729999999996</v>
      </c>
      <c r="CJ181" s="409">
        <v>-839.82914999999957</v>
      </c>
      <c r="CK181" s="409"/>
      <c r="CL181" s="409"/>
      <c r="CM181" s="409"/>
      <c r="CN181" s="409"/>
      <c r="CO181" s="409">
        <v>-930.61611000000039</v>
      </c>
      <c r="CP181" s="409">
        <v>90.090540000000075</v>
      </c>
      <c r="CQ181" s="409">
        <v>30</v>
      </c>
      <c r="CR181" s="409">
        <v>160.40381936984977</v>
      </c>
      <c r="CS181" s="409">
        <v>0</v>
      </c>
      <c r="CT181" s="409">
        <v>0</v>
      </c>
      <c r="CU181" s="409">
        <v>0</v>
      </c>
      <c r="CV181" s="409">
        <v>0</v>
      </c>
      <c r="CW181" s="409">
        <v>0</v>
      </c>
      <c r="CX181" s="409">
        <v>0</v>
      </c>
      <c r="CY181" s="409">
        <v>0</v>
      </c>
      <c r="CZ181" s="409">
        <v>46.786280552474409</v>
      </c>
      <c r="DA181" s="409">
        <v>0</v>
      </c>
      <c r="DB181" s="409">
        <v>0</v>
      </c>
      <c r="DC181" s="409">
        <v>118.73152588716039</v>
      </c>
      <c r="DD181" s="409">
        <v>0</v>
      </c>
      <c r="DE181" s="409">
        <v>0</v>
      </c>
      <c r="DF181" s="409">
        <v>0</v>
      </c>
      <c r="DG181" s="409">
        <v>16.10780942645647</v>
      </c>
      <c r="DH181" s="409">
        <v>0</v>
      </c>
      <c r="DI181" s="409">
        <v>0</v>
      </c>
      <c r="DJ181" s="409"/>
      <c r="DK181" s="409">
        <v>0</v>
      </c>
      <c r="DL181" s="409">
        <v>0</v>
      </c>
      <c r="DM181" s="409">
        <v>0</v>
      </c>
      <c r="DN181" s="409">
        <v>0</v>
      </c>
      <c r="DO181" s="409">
        <v>0</v>
      </c>
      <c r="DP181" s="409">
        <v>-1.0769277365366214</v>
      </c>
      <c r="DQ181" s="409">
        <v>0</v>
      </c>
      <c r="DR181" s="409">
        <v>-20.144868759704721</v>
      </c>
      <c r="DS181" s="409"/>
      <c r="DT181" s="409"/>
      <c r="DU181" s="409"/>
      <c r="DV181" s="409">
        <v>4366.5002501996105</v>
      </c>
      <c r="DW181" s="409">
        <v>0</v>
      </c>
      <c r="DX181" s="409">
        <v>0</v>
      </c>
      <c r="DY181" s="409">
        <v>-930.61610999999994</v>
      </c>
      <c r="DZ181" s="409">
        <v>90.090540000000146</v>
      </c>
      <c r="EA181" s="409">
        <v>0</v>
      </c>
      <c r="EB181" s="409">
        <v>0</v>
      </c>
      <c r="EC181" s="409">
        <v>-1000.9045331555562</v>
      </c>
      <c r="ED181" s="409">
        <v>0</v>
      </c>
      <c r="EE181" s="409">
        <v>0</v>
      </c>
      <c r="EF181" s="409">
        <v>0</v>
      </c>
      <c r="EG181" s="409">
        <v>0</v>
      </c>
      <c r="EH181" s="409">
        <v>0</v>
      </c>
      <c r="EI181" s="409">
        <v>0</v>
      </c>
      <c r="EJ181" s="409">
        <v>0</v>
      </c>
      <c r="EK181" s="409">
        <v>0</v>
      </c>
      <c r="EL181" s="409">
        <v>0</v>
      </c>
      <c r="EM181" s="409">
        <v>0</v>
      </c>
      <c r="EN181" s="409">
        <v>0</v>
      </c>
      <c r="EO181" s="409">
        <v>0</v>
      </c>
      <c r="EP181" s="409">
        <v>0</v>
      </c>
      <c r="EQ181" s="409">
        <v>0</v>
      </c>
      <c r="ER181" s="409">
        <v>0</v>
      </c>
      <c r="ES181" s="409">
        <v>0</v>
      </c>
      <c r="ET181" s="409">
        <v>0</v>
      </c>
      <c r="EU181" s="409">
        <v>0</v>
      </c>
      <c r="EV181" s="409">
        <v>254</v>
      </c>
      <c r="EW181" s="409">
        <v>0</v>
      </c>
      <c r="EX181" s="409">
        <v>0</v>
      </c>
      <c r="EY181" s="409">
        <v>0</v>
      </c>
      <c r="EZ181" s="409"/>
      <c r="FA181" s="409">
        <v>0</v>
      </c>
      <c r="FB181" s="409"/>
      <c r="FC181" s="409"/>
      <c r="FD181" s="409"/>
      <c r="FE181" s="409"/>
      <c r="FF181" s="409">
        <v>0</v>
      </c>
      <c r="FG181" s="409">
        <v>0</v>
      </c>
      <c r="FH181" s="409">
        <v>0</v>
      </c>
      <c r="FI181" s="409">
        <v>0</v>
      </c>
    </row>
    <row r="182" spans="1:165">
      <c r="A182" s="409">
        <v>180</v>
      </c>
      <c r="B182" s="409" t="s">
        <v>1035</v>
      </c>
      <c r="C182" s="409" t="s">
        <v>2244</v>
      </c>
      <c r="D182" s="409" t="s">
        <v>1994</v>
      </c>
      <c r="E182" s="409" t="s">
        <v>969</v>
      </c>
      <c r="F182" s="409" t="s">
        <v>1323</v>
      </c>
      <c r="G182" s="409" t="s">
        <v>1323</v>
      </c>
      <c r="H182" s="409" t="s">
        <v>1323</v>
      </c>
      <c r="I182" s="409" t="s">
        <v>1323</v>
      </c>
      <c r="J182" s="409" t="s">
        <v>2245</v>
      </c>
      <c r="K182" s="835">
        <v>44501</v>
      </c>
      <c r="L182" s="409">
        <v>0</v>
      </c>
      <c r="M182" s="409">
        <v>0</v>
      </c>
      <c r="N182" s="409">
        <v>0.44600000000000001</v>
      </c>
      <c r="O182" s="409">
        <v>0.44600000000000001</v>
      </c>
      <c r="P182" s="409">
        <v>0.44600000000000001</v>
      </c>
      <c r="Q182" s="409">
        <v>0.44600000000000001</v>
      </c>
      <c r="R182" s="409"/>
      <c r="S182" s="409">
        <v>597.01</v>
      </c>
      <c r="T182" s="409">
        <v>243.39</v>
      </c>
      <c r="U182" s="409"/>
      <c r="V182" s="409">
        <v>374.8184</v>
      </c>
      <c r="W182" s="409">
        <v>374.8184</v>
      </c>
      <c r="X182" s="409">
        <v>339.53088000000002</v>
      </c>
      <c r="Y182" s="409">
        <v>0</v>
      </c>
      <c r="Z182" s="409">
        <v>11.09803094947813</v>
      </c>
      <c r="AA182" s="409">
        <v>0</v>
      </c>
      <c r="AB182" s="409">
        <v>0</v>
      </c>
      <c r="AC182" s="409">
        <v>0</v>
      </c>
      <c r="AD182" s="409">
        <v>52.266323261968125</v>
      </c>
      <c r="AE182" s="409">
        <v>182.87718204423197</v>
      </c>
      <c r="AF182" s="409">
        <v>108.55071118136107</v>
      </c>
      <c r="AG182" s="409">
        <v>0</v>
      </c>
      <c r="AH182" s="409">
        <v>0</v>
      </c>
      <c r="AI182" s="409">
        <v>0</v>
      </c>
      <c r="AJ182" s="409">
        <v>0</v>
      </c>
      <c r="AK182" s="409">
        <v>0</v>
      </c>
      <c r="AL182" s="409">
        <v>4.5309545081341973</v>
      </c>
      <c r="AM182" s="409"/>
      <c r="AN182" s="409">
        <v>0.7657246533901112</v>
      </c>
      <c r="AO182" s="409">
        <v>0</v>
      </c>
      <c r="AP182" s="409">
        <v>0</v>
      </c>
      <c r="AQ182" s="409">
        <v>0</v>
      </c>
      <c r="AR182" s="409">
        <v>0</v>
      </c>
      <c r="AS182" s="409">
        <v>0</v>
      </c>
      <c r="AT182" s="409">
        <v>0</v>
      </c>
      <c r="AU182" s="409">
        <v>0</v>
      </c>
      <c r="AV182" s="409">
        <v>0</v>
      </c>
      <c r="AW182" s="409">
        <v>0</v>
      </c>
      <c r="AX182" s="409">
        <v>0</v>
      </c>
      <c r="AY182" s="409">
        <v>0</v>
      </c>
      <c r="AZ182" s="409">
        <v>0</v>
      </c>
      <c r="BA182" s="409"/>
      <c r="BB182" s="409">
        <v>0</v>
      </c>
      <c r="BC182" s="409">
        <v>0</v>
      </c>
      <c r="BD182" s="409">
        <v>0</v>
      </c>
      <c r="BE182" s="409">
        <v>0</v>
      </c>
      <c r="BF182" s="409">
        <v>0</v>
      </c>
      <c r="BG182" s="409">
        <v>14.726620884814542</v>
      </c>
      <c r="BH182" s="409">
        <v>0</v>
      </c>
      <c r="BI182" s="409">
        <v>0</v>
      </c>
      <c r="BJ182" s="409">
        <v>0</v>
      </c>
      <c r="BK182" s="409">
        <v>0</v>
      </c>
      <c r="BL182" s="409">
        <v>3</v>
      </c>
      <c r="BM182" s="409"/>
      <c r="BN182" s="409"/>
      <c r="BO182" s="409"/>
      <c r="BP182" s="409"/>
      <c r="BQ182" s="409"/>
      <c r="BR182" s="409"/>
      <c r="BS182" s="409"/>
      <c r="BT182" s="409"/>
      <c r="BU182" s="409"/>
      <c r="BV182" s="409">
        <v>123.2773320661756</v>
      </c>
      <c r="BW182" s="409"/>
      <c r="BX182" s="409"/>
      <c r="BY182" s="409"/>
      <c r="BZ182" s="409"/>
      <c r="CA182" s="409"/>
      <c r="CB182" s="409"/>
      <c r="CC182" s="409"/>
      <c r="CD182" s="409"/>
      <c r="CE182" s="409"/>
      <c r="CF182" s="409"/>
      <c r="CG182" s="409"/>
      <c r="CH182" s="409"/>
      <c r="CI182" s="409">
        <v>342.57600000000002</v>
      </c>
      <c r="CJ182" s="409">
        <v>-32.272399999999948</v>
      </c>
      <c r="CK182" s="409"/>
      <c r="CL182" s="409"/>
      <c r="CM182" s="409"/>
      <c r="CN182" s="409"/>
      <c r="CO182" s="409">
        <v>-39.060679999999991</v>
      </c>
      <c r="CP182" s="409">
        <v>3.7731600000000034</v>
      </c>
      <c r="CQ182" s="409">
        <v>30</v>
      </c>
      <c r="CR182" s="409">
        <v>6.6337250628402273</v>
      </c>
      <c r="CS182" s="409">
        <v>0</v>
      </c>
      <c r="CT182" s="409">
        <v>0</v>
      </c>
      <c r="CU182" s="409">
        <v>0</v>
      </c>
      <c r="CV182" s="409">
        <v>0</v>
      </c>
      <c r="CW182" s="409">
        <v>0</v>
      </c>
      <c r="CX182" s="409">
        <v>0</v>
      </c>
      <c r="CY182" s="409">
        <v>0</v>
      </c>
      <c r="CZ182" s="409">
        <v>1.9594967721291709</v>
      </c>
      <c r="DA182" s="409">
        <v>0</v>
      </c>
      <c r="DB182" s="409">
        <v>0</v>
      </c>
      <c r="DC182" s="409">
        <v>4.9726979571484122</v>
      </c>
      <c r="DD182" s="409">
        <v>0</v>
      </c>
      <c r="DE182" s="409">
        <v>0</v>
      </c>
      <c r="DF182" s="409">
        <v>0</v>
      </c>
      <c r="DG182" s="409">
        <v>0.67462512951446918</v>
      </c>
      <c r="DH182" s="409">
        <v>0</v>
      </c>
      <c r="DI182" s="409">
        <v>-8.0936615962912128E-2</v>
      </c>
      <c r="DJ182" s="409"/>
      <c r="DK182" s="409">
        <v>0</v>
      </c>
      <c r="DL182" s="409">
        <v>0</v>
      </c>
      <c r="DM182" s="409">
        <v>0</v>
      </c>
      <c r="DN182" s="409">
        <v>0</v>
      </c>
      <c r="DO182" s="409">
        <v>-2.5413907334102426E-2</v>
      </c>
      <c r="DP182" s="409">
        <v>-4.5103744060036921E-2</v>
      </c>
      <c r="DQ182" s="409">
        <v>0</v>
      </c>
      <c r="DR182" s="409">
        <v>-0.82164052859475878</v>
      </c>
      <c r="DS182" s="409"/>
      <c r="DT182" s="409"/>
      <c r="DU182" s="409"/>
      <c r="DV182" s="409">
        <v>182.87718204423197</v>
      </c>
      <c r="DW182" s="409">
        <v>0</v>
      </c>
      <c r="DX182" s="409">
        <v>0</v>
      </c>
      <c r="DY182" s="409">
        <v>-39.060679999999991</v>
      </c>
      <c r="DZ182" s="409">
        <v>3.7731600000000043</v>
      </c>
      <c r="EA182" s="409">
        <v>0</v>
      </c>
      <c r="EB182" s="409">
        <v>0</v>
      </c>
      <c r="EC182" s="409">
        <v>-41.919750379132097</v>
      </c>
      <c r="ED182" s="409">
        <v>0</v>
      </c>
      <c r="EE182" s="409">
        <v>0</v>
      </c>
      <c r="EF182" s="409">
        <v>0</v>
      </c>
      <c r="EG182" s="409">
        <v>0</v>
      </c>
      <c r="EH182" s="409">
        <v>0</v>
      </c>
      <c r="EI182" s="409">
        <v>0</v>
      </c>
      <c r="EJ182" s="409">
        <v>0</v>
      </c>
      <c r="EK182" s="409">
        <v>0</v>
      </c>
      <c r="EL182" s="409">
        <v>0</v>
      </c>
      <c r="EM182" s="409">
        <v>0</v>
      </c>
      <c r="EN182" s="409">
        <v>0</v>
      </c>
      <c r="EO182" s="409">
        <v>0</v>
      </c>
      <c r="EP182" s="409">
        <v>0</v>
      </c>
      <c r="EQ182" s="409">
        <v>0</v>
      </c>
      <c r="ER182" s="409">
        <v>0</v>
      </c>
      <c r="ES182" s="409">
        <v>0</v>
      </c>
      <c r="ET182" s="409">
        <v>0</v>
      </c>
      <c r="EU182" s="409">
        <v>0</v>
      </c>
      <c r="EV182" s="409">
        <v>254</v>
      </c>
      <c r="EW182" s="409">
        <v>0</v>
      </c>
      <c r="EX182" s="409">
        <v>0</v>
      </c>
      <c r="EY182" s="409">
        <v>0</v>
      </c>
      <c r="EZ182" s="409"/>
      <c r="FA182" s="409">
        <v>0</v>
      </c>
      <c r="FB182" s="409"/>
      <c r="FC182" s="409"/>
      <c r="FD182" s="409"/>
      <c r="FE182" s="409"/>
      <c r="FF182" s="409">
        <v>0</v>
      </c>
      <c r="FG182" s="409">
        <v>0</v>
      </c>
      <c r="FH182" s="409">
        <v>0</v>
      </c>
      <c r="FI182" s="409">
        <v>0</v>
      </c>
    </row>
    <row r="183" spans="1:165">
      <c r="A183" s="409">
        <v>181</v>
      </c>
      <c r="B183" s="409" t="s">
        <v>1035</v>
      </c>
      <c r="C183" s="409" t="s">
        <v>2251</v>
      </c>
      <c r="D183" s="409" t="s">
        <v>596</v>
      </c>
      <c r="E183" s="409" t="s">
        <v>969</v>
      </c>
      <c r="F183" s="409" t="s">
        <v>1323</v>
      </c>
      <c r="G183" s="409" t="s">
        <v>1323</v>
      </c>
      <c r="H183" s="409" t="s">
        <v>1323</v>
      </c>
      <c r="I183" s="409" t="s">
        <v>972</v>
      </c>
      <c r="J183" s="409" t="s">
        <v>2245</v>
      </c>
      <c r="K183" s="835">
        <v>44501</v>
      </c>
      <c r="L183" s="409">
        <v>0</v>
      </c>
      <c r="M183" s="409">
        <v>0</v>
      </c>
      <c r="N183" s="409">
        <v>0.18</v>
      </c>
      <c r="O183" s="409">
        <v>0.18</v>
      </c>
      <c r="P183" s="409">
        <v>0.18</v>
      </c>
      <c r="Q183" s="409">
        <v>0.18</v>
      </c>
      <c r="R183" s="409"/>
      <c r="S183" s="409">
        <v>2773.91</v>
      </c>
      <c r="T183" s="409">
        <v>243.39</v>
      </c>
      <c r="U183" s="409"/>
      <c r="V183" s="409">
        <v>543.11399999999992</v>
      </c>
      <c r="W183" s="409">
        <v>543.11399999999992</v>
      </c>
      <c r="X183" s="409">
        <v>467.52660000000003</v>
      </c>
      <c r="Y183" s="409">
        <v>0</v>
      </c>
      <c r="Z183" s="409">
        <v>3.8967525710499418</v>
      </c>
      <c r="AA183" s="409">
        <v>0</v>
      </c>
      <c r="AB183" s="409">
        <v>0</v>
      </c>
      <c r="AC183" s="409">
        <v>0</v>
      </c>
      <c r="AD183" s="409">
        <v>129.69135346792751</v>
      </c>
      <c r="AE183" s="409">
        <v>361.03421696350858</v>
      </c>
      <c r="AF183" s="409">
        <v>43.809704064226437</v>
      </c>
      <c r="AG183" s="409">
        <v>0</v>
      </c>
      <c r="AH183" s="409">
        <v>0</v>
      </c>
      <c r="AI183" s="409">
        <v>0</v>
      </c>
      <c r="AJ183" s="409">
        <v>0</v>
      </c>
      <c r="AK183" s="409">
        <v>0</v>
      </c>
      <c r="AL183" s="409">
        <v>1.8286363485743398</v>
      </c>
      <c r="AM183" s="409"/>
      <c r="AN183" s="409">
        <v>0.12486213383315146</v>
      </c>
      <c r="AO183" s="409">
        <v>0</v>
      </c>
      <c r="AP183" s="409">
        <v>0</v>
      </c>
      <c r="AQ183" s="409">
        <v>0</v>
      </c>
      <c r="AR183" s="409">
        <v>0</v>
      </c>
      <c r="AS183" s="409">
        <v>0</v>
      </c>
      <c r="AT183" s="409">
        <v>0</v>
      </c>
      <c r="AU183" s="409">
        <v>0</v>
      </c>
      <c r="AV183" s="409">
        <v>0</v>
      </c>
      <c r="AW183" s="409">
        <v>0</v>
      </c>
      <c r="AX183" s="409">
        <v>0</v>
      </c>
      <c r="AY183" s="409">
        <v>0</v>
      </c>
      <c r="AZ183" s="409">
        <v>0</v>
      </c>
      <c r="BA183" s="409"/>
      <c r="BB183" s="409">
        <v>0</v>
      </c>
      <c r="BC183" s="409">
        <v>0</v>
      </c>
      <c r="BD183" s="409">
        <v>0</v>
      </c>
      <c r="BE183" s="409">
        <v>0</v>
      </c>
      <c r="BF183" s="409">
        <v>0</v>
      </c>
      <c r="BG183" s="409">
        <v>2.7286432076044438</v>
      </c>
      <c r="BH183" s="409">
        <v>0</v>
      </c>
      <c r="BI183" s="409">
        <v>0</v>
      </c>
      <c r="BJ183" s="409">
        <v>0</v>
      </c>
      <c r="BK183" s="409">
        <v>0</v>
      </c>
      <c r="BL183" s="409">
        <v>0</v>
      </c>
      <c r="BM183" s="409"/>
      <c r="BN183" s="409"/>
      <c r="BO183" s="409"/>
      <c r="BP183" s="409"/>
      <c r="BQ183" s="409"/>
      <c r="BR183" s="409"/>
      <c r="BS183" s="409"/>
      <c r="BT183" s="409"/>
      <c r="BU183" s="409"/>
      <c r="BV183" s="409">
        <v>46.538347271830879</v>
      </c>
      <c r="BW183" s="409"/>
      <c r="BX183" s="409"/>
      <c r="BY183" s="409"/>
      <c r="BZ183" s="409"/>
      <c r="CA183" s="409"/>
      <c r="CB183" s="409"/>
      <c r="CC183" s="409"/>
      <c r="CD183" s="409"/>
      <c r="CE183" s="409"/>
      <c r="CF183" s="409"/>
      <c r="CG183" s="409"/>
      <c r="CH183" s="409"/>
      <c r="CI183" s="409">
        <v>467.52660000000003</v>
      </c>
      <c r="CJ183" s="409">
        <v>-75.617399999999861</v>
      </c>
      <c r="CK183" s="409"/>
      <c r="CL183" s="409"/>
      <c r="CM183" s="409"/>
      <c r="CN183" s="409"/>
      <c r="CO183" s="409">
        <v>-77.110199999999978</v>
      </c>
      <c r="CP183" s="409">
        <v>1.5228000000000015</v>
      </c>
      <c r="CQ183" s="409">
        <v>30</v>
      </c>
      <c r="CR183" s="409">
        <v>7.1696763442706128</v>
      </c>
      <c r="CS183" s="409">
        <v>0</v>
      </c>
      <c r="CT183" s="409">
        <v>0</v>
      </c>
      <c r="CU183" s="409">
        <v>0</v>
      </c>
      <c r="CV183" s="409">
        <v>0</v>
      </c>
      <c r="CW183" s="409">
        <v>0</v>
      </c>
      <c r="CX183" s="409">
        <v>0</v>
      </c>
      <c r="CY183" s="409">
        <v>0</v>
      </c>
      <c r="CZ183" s="409">
        <v>4.8622090216620677</v>
      </c>
      <c r="DA183" s="409">
        <v>0</v>
      </c>
      <c r="DB183" s="409">
        <v>0</v>
      </c>
      <c r="DC183" s="409">
        <v>2.0069184580419588</v>
      </c>
      <c r="DD183" s="409">
        <v>0</v>
      </c>
      <c r="DE183" s="409">
        <v>0</v>
      </c>
      <c r="DF183" s="409">
        <v>0</v>
      </c>
      <c r="DG183" s="409">
        <v>0.12499889090153404</v>
      </c>
      <c r="DH183" s="409">
        <v>0</v>
      </c>
      <c r="DI183" s="409">
        <v>-2.8418551703567552E-2</v>
      </c>
      <c r="DJ183" s="409"/>
      <c r="DK183" s="409">
        <v>0</v>
      </c>
      <c r="DL183" s="409">
        <v>0</v>
      </c>
      <c r="DM183" s="409">
        <v>0</v>
      </c>
      <c r="DN183" s="409">
        <v>0</v>
      </c>
      <c r="DO183" s="409">
        <v>-1.0256733901655934E-2</v>
      </c>
      <c r="DP183" s="409">
        <v>-7.3547974487527118E-3</v>
      </c>
      <c r="DQ183" s="409">
        <v>0</v>
      </c>
      <c r="DR183" s="409">
        <v>0.22158005671903147</v>
      </c>
      <c r="DS183" s="409"/>
      <c r="DT183" s="409"/>
      <c r="DU183" s="409"/>
      <c r="DV183" s="409">
        <v>361.03421696350858</v>
      </c>
      <c r="DW183" s="409">
        <v>0</v>
      </c>
      <c r="DX183" s="409">
        <v>0</v>
      </c>
      <c r="DY183" s="409">
        <v>-77.110199999999963</v>
      </c>
      <c r="DZ183" s="409">
        <v>1.5228000000000037</v>
      </c>
      <c r="EA183" s="409">
        <v>0</v>
      </c>
      <c r="EB183" s="409">
        <v>0</v>
      </c>
      <c r="EC183" s="409">
        <v>-82.757532045605387</v>
      </c>
      <c r="ED183" s="409">
        <v>0</v>
      </c>
      <c r="EE183" s="409">
        <v>0</v>
      </c>
      <c r="EF183" s="409">
        <v>0</v>
      </c>
      <c r="EG183" s="409">
        <v>0</v>
      </c>
      <c r="EH183" s="409">
        <v>0</v>
      </c>
      <c r="EI183" s="409">
        <v>0</v>
      </c>
      <c r="EJ183" s="409">
        <v>0</v>
      </c>
      <c r="EK183" s="409">
        <v>0</v>
      </c>
      <c r="EL183" s="409">
        <v>0</v>
      </c>
      <c r="EM183" s="409">
        <v>0</v>
      </c>
      <c r="EN183" s="409">
        <v>0</v>
      </c>
      <c r="EO183" s="409">
        <v>0</v>
      </c>
      <c r="EP183" s="409">
        <v>0</v>
      </c>
      <c r="EQ183" s="409">
        <v>0</v>
      </c>
      <c r="ER183" s="409">
        <v>0</v>
      </c>
      <c r="ES183" s="409">
        <v>0</v>
      </c>
      <c r="ET183" s="409">
        <v>0</v>
      </c>
      <c r="EU183" s="409">
        <v>0</v>
      </c>
      <c r="EV183" s="409">
        <v>254</v>
      </c>
      <c r="EW183" s="409">
        <v>0</v>
      </c>
      <c r="EX183" s="409">
        <v>0</v>
      </c>
      <c r="EY183" s="409">
        <v>0</v>
      </c>
      <c r="EZ183" s="409"/>
      <c r="FA183" s="409">
        <v>0</v>
      </c>
      <c r="FB183" s="409"/>
      <c r="FC183" s="409"/>
      <c r="FD183" s="409"/>
      <c r="FE183" s="409"/>
      <c r="FF183" s="409">
        <v>0</v>
      </c>
      <c r="FG183" s="409">
        <v>0</v>
      </c>
      <c r="FH183" s="409">
        <v>0</v>
      </c>
      <c r="FI183" s="409">
        <v>0</v>
      </c>
    </row>
    <row r="184" spans="1:165">
      <c r="A184" s="409">
        <v>182</v>
      </c>
      <c r="B184" s="409" t="s">
        <v>1035</v>
      </c>
      <c r="C184" s="409" t="s">
        <v>2251</v>
      </c>
      <c r="D184" s="409" t="s">
        <v>596</v>
      </c>
      <c r="E184" s="409" t="s">
        <v>969</v>
      </c>
      <c r="F184" s="409" t="s">
        <v>1323</v>
      </c>
      <c r="G184" s="409" t="s">
        <v>1323</v>
      </c>
      <c r="H184" s="409" t="s">
        <v>1323</v>
      </c>
      <c r="I184" s="409" t="s">
        <v>2237</v>
      </c>
      <c r="J184" s="409" t="s">
        <v>2245</v>
      </c>
      <c r="K184" s="835">
        <v>44501</v>
      </c>
      <c r="L184" s="409">
        <v>0</v>
      </c>
      <c r="M184" s="409">
        <v>0</v>
      </c>
      <c r="N184" s="409">
        <v>30.475000000000001</v>
      </c>
      <c r="O184" s="409">
        <v>30.475000000000001</v>
      </c>
      <c r="P184" s="409">
        <v>30.475000000000001</v>
      </c>
      <c r="Q184" s="409">
        <v>30.475000000000001</v>
      </c>
      <c r="R184" s="409"/>
      <c r="S184" s="409">
        <v>47.66</v>
      </c>
      <c r="T184" s="409">
        <v>243.39</v>
      </c>
      <c r="U184" s="409"/>
      <c r="V184" s="409">
        <v>8869.7487499999988</v>
      </c>
      <c r="W184" s="409">
        <v>8869.7487499999988</v>
      </c>
      <c r="X184" s="409">
        <v>9143.1095000000005</v>
      </c>
      <c r="Y184" s="409">
        <v>0</v>
      </c>
      <c r="Z184" s="409">
        <v>659.74185890414992</v>
      </c>
      <c r="AA184" s="409">
        <v>0</v>
      </c>
      <c r="AB184" s="409">
        <v>0</v>
      </c>
      <c r="AC184" s="409">
        <v>0</v>
      </c>
      <c r="AD184" s="409">
        <v>0</v>
      </c>
      <c r="AE184" s="409">
        <v>0</v>
      </c>
      <c r="AF184" s="409">
        <v>7417.2262853183374</v>
      </c>
      <c r="AG184" s="409">
        <v>0</v>
      </c>
      <c r="AH184" s="409">
        <v>0</v>
      </c>
      <c r="AI184" s="409">
        <v>0</v>
      </c>
      <c r="AJ184" s="409">
        <v>0</v>
      </c>
      <c r="AK184" s="409">
        <v>0</v>
      </c>
      <c r="AL184" s="409">
        <v>309.59829290446118</v>
      </c>
      <c r="AM184" s="409"/>
      <c r="AN184" s="409">
        <v>21.13985293647384</v>
      </c>
      <c r="AO184" s="409">
        <v>0</v>
      </c>
      <c r="AP184" s="409">
        <v>0</v>
      </c>
      <c r="AQ184" s="409">
        <v>0</v>
      </c>
      <c r="AR184" s="409">
        <v>0</v>
      </c>
      <c r="AS184" s="409">
        <v>0</v>
      </c>
      <c r="AT184" s="409">
        <v>0</v>
      </c>
      <c r="AU184" s="409">
        <v>0</v>
      </c>
      <c r="AV184" s="409">
        <v>0</v>
      </c>
      <c r="AW184" s="409">
        <v>0</v>
      </c>
      <c r="AX184" s="409">
        <v>0</v>
      </c>
      <c r="AY184" s="409">
        <v>0</v>
      </c>
      <c r="AZ184" s="409">
        <v>0</v>
      </c>
      <c r="BA184" s="409"/>
      <c r="BB184" s="409">
        <v>0</v>
      </c>
      <c r="BC184" s="409">
        <v>0</v>
      </c>
      <c r="BD184" s="409">
        <v>0</v>
      </c>
      <c r="BE184" s="409">
        <v>0</v>
      </c>
      <c r="BF184" s="409">
        <v>0</v>
      </c>
      <c r="BG184" s="409">
        <v>461.97445417636357</v>
      </c>
      <c r="BH184" s="409">
        <v>0</v>
      </c>
      <c r="BI184" s="409">
        <v>0</v>
      </c>
      <c r="BJ184" s="409">
        <v>0</v>
      </c>
      <c r="BK184" s="409">
        <v>0</v>
      </c>
      <c r="BL184" s="409">
        <v>0</v>
      </c>
      <c r="BM184" s="409"/>
      <c r="BN184" s="409"/>
      <c r="BO184" s="409"/>
      <c r="BP184" s="409"/>
      <c r="BQ184" s="409"/>
      <c r="BR184" s="409"/>
      <c r="BS184" s="409"/>
      <c r="BT184" s="409"/>
      <c r="BU184" s="409"/>
      <c r="BV184" s="409">
        <v>7879.2007394947013</v>
      </c>
      <c r="BW184" s="409"/>
      <c r="BX184" s="409"/>
      <c r="BY184" s="409"/>
      <c r="BZ184" s="409"/>
      <c r="CA184" s="409"/>
      <c r="CB184" s="409"/>
      <c r="CC184" s="409"/>
      <c r="CD184" s="409"/>
      <c r="CE184" s="409"/>
      <c r="CF184" s="409"/>
      <c r="CG184" s="409"/>
      <c r="CH184" s="409"/>
      <c r="CI184" s="409">
        <v>9144.6095999999998</v>
      </c>
      <c r="CJ184" s="409">
        <v>274.83085000000028</v>
      </c>
      <c r="CK184" s="409"/>
      <c r="CL184" s="409"/>
      <c r="CM184" s="409"/>
      <c r="CN184" s="409"/>
      <c r="CO184" s="409">
        <v>15.542250000000157</v>
      </c>
      <c r="CP184" s="409">
        <v>257.81850000000026</v>
      </c>
      <c r="CQ184" s="409">
        <v>30</v>
      </c>
      <c r="CR184" s="409">
        <v>273.37542670409493</v>
      </c>
      <c r="CS184" s="409">
        <v>0</v>
      </c>
      <c r="CT184" s="409">
        <v>0</v>
      </c>
      <c r="CU184" s="409">
        <v>0</v>
      </c>
      <c r="CV184" s="409">
        <v>0</v>
      </c>
      <c r="CW184" s="409">
        <v>0</v>
      </c>
      <c r="CX184" s="409">
        <v>0</v>
      </c>
      <c r="CY184" s="409">
        <v>0</v>
      </c>
      <c r="CZ184" s="409">
        <v>0</v>
      </c>
      <c r="DA184" s="409">
        <v>0</v>
      </c>
      <c r="DB184" s="409">
        <v>0</v>
      </c>
      <c r="DC184" s="409">
        <v>339.78244449349313</v>
      </c>
      <c r="DD184" s="409">
        <v>0</v>
      </c>
      <c r="DE184" s="409">
        <v>0</v>
      </c>
      <c r="DF184" s="409">
        <v>0</v>
      </c>
      <c r="DG184" s="409">
        <v>21.163006667912441</v>
      </c>
      <c r="DH184" s="409">
        <v>0</v>
      </c>
      <c r="DI184" s="409">
        <v>-4.8114186842568643</v>
      </c>
      <c r="DJ184" s="409"/>
      <c r="DK184" s="409">
        <v>0</v>
      </c>
      <c r="DL184" s="409">
        <v>0</v>
      </c>
      <c r="DM184" s="409">
        <v>0</v>
      </c>
      <c r="DN184" s="409">
        <v>0</v>
      </c>
      <c r="DO184" s="409">
        <v>-1.7365220314054</v>
      </c>
      <c r="DP184" s="409">
        <v>-1.2452080680596609</v>
      </c>
      <c r="DQ184" s="409">
        <v>0</v>
      </c>
      <c r="DR184" s="409">
        <v>-79.776875673590411</v>
      </c>
      <c r="DS184" s="409"/>
      <c r="DT184" s="409"/>
      <c r="DU184" s="409"/>
      <c r="DV184" s="409">
        <v>0</v>
      </c>
      <c r="DW184" s="409">
        <v>0</v>
      </c>
      <c r="DX184" s="409">
        <v>0</v>
      </c>
      <c r="DY184" s="409">
        <v>15.542250000000195</v>
      </c>
      <c r="DZ184" s="409">
        <v>257.81850000000031</v>
      </c>
      <c r="EA184" s="409">
        <v>0</v>
      </c>
      <c r="EB184" s="409">
        <v>0</v>
      </c>
      <c r="EC184" s="409">
        <v>0</v>
      </c>
      <c r="ED184" s="409">
        <v>0</v>
      </c>
      <c r="EE184" s="409">
        <v>0</v>
      </c>
      <c r="EF184" s="409">
        <v>0</v>
      </c>
      <c r="EG184" s="409">
        <v>0</v>
      </c>
      <c r="EH184" s="409">
        <v>0</v>
      </c>
      <c r="EI184" s="409">
        <v>0</v>
      </c>
      <c r="EJ184" s="409">
        <v>0</v>
      </c>
      <c r="EK184" s="409">
        <v>0</v>
      </c>
      <c r="EL184" s="409">
        <v>0</v>
      </c>
      <c r="EM184" s="409">
        <v>0</v>
      </c>
      <c r="EN184" s="409">
        <v>0</v>
      </c>
      <c r="EO184" s="409">
        <v>0</v>
      </c>
      <c r="EP184" s="409">
        <v>0</v>
      </c>
      <c r="EQ184" s="409">
        <v>0</v>
      </c>
      <c r="ER184" s="409">
        <v>0</v>
      </c>
      <c r="ES184" s="409">
        <v>0</v>
      </c>
      <c r="ET184" s="409">
        <v>0</v>
      </c>
      <c r="EU184" s="409">
        <v>0</v>
      </c>
      <c r="EV184" s="409">
        <v>254</v>
      </c>
      <c r="EW184" s="409">
        <v>0</v>
      </c>
      <c r="EX184" s="409">
        <v>0</v>
      </c>
      <c r="EY184" s="409">
        <v>0</v>
      </c>
      <c r="EZ184" s="409"/>
      <c r="FA184" s="409">
        <v>0</v>
      </c>
      <c r="FB184" s="409"/>
      <c r="FC184" s="409"/>
      <c r="FD184" s="409"/>
      <c r="FE184" s="409"/>
      <c r="FF184" s="409">
        <v>0</v>
      </c>
      <c r="FG184" s="409">
        <v>0</v>
      </c>
      <c r="FH184" s="409">
        <v>0</v>
      </c>
      <c r="FI184" s="409">
        <v>0</v>
      </c>
    </row>
    <row r="185" spans="1:165">
      <c r="A185" s="409">
        <v>183</v>
      </c>
      <c r="B185" s="409" t="s">
        <v>1035</v>
      </c>
      <c r="C185" s="409" t="s">
        <v>2251</v>
      </c>
      <c r="D185" s="409" t="s">
        <v>596</v>
      </c>
      <c r="E185" s="409" t="s">
        <v>969</v>
      </c>
      <c r="F185" s="409" t="s">
        <v>1323</v>
      </c>
      <c r="G185" s="409" t="s">
        <v>1323</v>
      </c>
      <c r="H185" s="409" t="s">
        <v>1323</v>
      </c>
      <c r="I185" s="409" t="s">
        <v>1323</v>
      </c>
      <c r="J185" s="409" t="s">
        <v>2245</v>
      </c>
      <c r="K185" s="835">
        <v>44501</v>
      </c>
      <c r="L185" s="409">
        <v>120</v>
      </c>
      <c r="M185" s="409">
        <v>120</v>
      </c>
      <c r="N185" s="409">
        <v>0</v>
      </c>
      <c r="O185" s="409">
        <v>0</v>
      </c>
      <c r="P185" s="409">
        <v>0</v>
      </c>
      <c r="Q185" s="409">
        <v>0</v>
      </c>
      <c r="R185" s="409">
        <v>50.27</v>
      </c>
      <c r="S185" s="409"/>
      <c r="T185" s="409"/>
      <c r="U185" s="409">
        <v>6032.4000000000005</v>
      </c>
      <c r="V185" s="409"/>
      <c r="W185" s="409">
        <v>6032.4000000000005</v>
      </c>
      <c r="X185" s="409">
        <v>5424</v>
      </c>
      <c r="Y185" s="409">
        <v>0</v>
      </c>
      <c r="Z185" s="409">
        <v>0</v>
      </c>
      <c r="AA185" s="409">
        <v>0</v>
      </c>
      <c r="AB185" s="409">
        <v>0</v>
      </c>
      <c r="AC185" s="409">
        <v>0</v>
      </c>
      <c r="AD185" s="409">
        <v>2875.1919811512239</v>
      </c>
      <c r="AE185" s="409">
        <v>3156.6615245067596</v>
      </c>
      <c r="AF185" s="409"/>
      <c r="AG185" s="409"/>
      <c r="AH185" s="409"/>
      <c r="AI185" s="409">
        <v>0</v>
      </c>
      <c r="AJ185" s="409">
        <v>0</v>
      </c>
      <c r="AK185" s="409">
        <v>0</v>
      </c>
      <c r="AL185" s="409">
        <v>0</v>
      </c>
      <c r="AM185" s="409"/>
      <c r="AN185" s="409">
        <v>0</v>
      </c>
      <c r="AO185" s="409">
        <v>0</v>
      </c>
      <c r="AP185" s="409">
        <v>0</v>
      </c>
      <c r="AQ185" s="409">
        <v>0</v>
      </c>
      <c r="AR185" s="409">
        <v>0</v>
      </c>
      <c r="AS185" s="409"/>
      <c r="AT185" s="409"/>
      <c r="AU185" s="409">
        <v>0</v>
      </c>
      <c r="AV185" s="409">
        <v>0</v>
      </c>
      <c r="AW185" s="409">
        <v>0</v>
      </c>
      <c r="AX185" s="409"/>
      <c r="AY185" s="409"/>
      <c r="AZ185" s="409">
        <v>0</v>
      </c>
      <c r="BA185" s="409"/>
      <c r="BB185" s="409">
        <v>0</v>
      </c>
      <c r="BC185" s="409">
        <v>0</v>
      </c>
      <c r="BD185" s="409">
        <v>0</v>
      </c>
      <c r="BE185" s="409">
        <v>0</v>
      </c>
      <c r="BF185" s="409"/>
      <c r="BG185" s="409">
        <v>0</v>
      </c>
      <c r="BH185" s="409">
        <v>0</v>
      </c>
      <c r="BI185" s="409">
        <v>0</v>
      </c>
      <c r="BJ185" s="409">
        <v>0</v>
      </c>
      <c r="BK185" s="409">
        <v>0</v>
      </c>
      <c r="BL185" s="409">
        <v>1</v>
      </c>
      <c r="BM185" s="409"/>
      <c r="BN185" s="409"/>
      <c r="BO185" s="409"/>
      <c r="BP185" s="409"/>
      <c r="BQ185" s="409"/>
      <c r="BR185" s="409"/>
      <c r="BS185" s="409"/>
      <c r="BT185" s="409"/>
      <c r="BU185" s="409"/>
      <c r="BV185" s="409">
        <v>0</v>
      </c>
      <c r="BW185" s="409"/>
      <c r="BX185" s="409"/>
      <c r="BY185" s="409"/>
      <c r="BZ185" s="409"/>
      <c r="CA185" s="409"/>
      <c r="CB185" s="409"/>
      <c r="CC185" s="409"/>
      <c r="CD185" s="409"/>
      <c r="CE185" s="409"/>
      <c r="CF185" s="409"/>
      <c r="CG185" s="409"/>
      <c r="CH185" s="409"/>
      <c r="CI185" s="409">
        <v>5424</v>
      </c>
      <c r="CJ185" s="409">
        <v>-608.4300000000012</v>
      </c>
      <c r="CK185" s="409"/>
      <c r="CL185" s="409"/>
      <c r="CM185" s="409"/>
      <c r="CN185" s="409"/>
      <c r="CO185" s="409">
        <v>-608.40000000000009</v>
      </c>
      <c r="CP185" s="409">
        <v>0</v>
      </c>
      <c r="CQ185" s="409">
        <v>30</v>
      </c>
      <c r="CR185" s="409">
        <v>116.30817949722041</v>
      </c>
      <c r="CS185" s="409">
        <v>0</v>
      </c>
      <c r="CT185" s="409">
        <v>0</v>
      </c>
      <c r="CU185" s="409">
        <v>0</v>
      </c>
      <c r="CV185" s="409">
        <v>0</v>
      </c>
      <c r="CW185" s="409"/>
      <c r="CX185" s="409"/>
      <c r="CY185" s="409"/>
      <c r="CZ185" s="409">
        <v>107.79272492689233</v>
      </c>
      <c r="DA185" s="409">
        <v>0</v>
      </c>
      <c r="DB185" s="409">
        <v>0</v>
      </c>
      <c r="DC185" s="409"/>
      <c r="DD185" s="409"/>
      <c r="DE185" s="409">
        <v>0</v>
      </c>
      <c r="DF185" s="409">
        <v>0</v>
      </c>
      <c r="DG185" s="409">
        <v>0</v>
      </c>
      <c r="DH185" s="409">
        <v>0</v>
      </c>
      <c r="DI185" s="409">
        <v>0</v>
      </c>
      <c r="DJ185" s="409"/>
      <c r="DK185" s="409">
        <v>0</v>
      </c>
      <c r="DL185" s="409">
        <v>0</v>
      </c>
      <c r="DM185" s="409"/>
      <c r="DN185" s="409">
        <v>0</v>
      </c>
      <c r="DO185" s="409">
        <v>0</v>
      </c>
      <c r="DP185" s="409">
        <v>0</v>
      </c>
      <c r="DQ185" s="409">
        <v>0</v>
      </c>
      <c r="DR185" s="409">
        <v>8.5154545703282878</v>
      </c>
      <c r="DS185" s="409"/>
      <c r="DT185" s="409"/>
      <c r="DU185" s="409">
        <v>3156.6615245067596</v>
      </c>
      <c r="DV185" s="409"/>
      <c r="DW185" s="409">
        <v>0</v>
      </c>
      <c r="DX185" s="409">
        <v>0</v>
      </c>
      <c r="DY185" s="409">
        <v>-608.40000000000055</v>
      </c>
      <c r="DZ185" s="409"/>
      <c r="EA185" s="409">
        <v>0</v>
      </c>
      <c r="EB185" s="409"/>
      <c r="EC185" s="409">
        <v>-723.58104854615976</v>
      </c>
      <c r="ED185" s="409"/>
      <c r="EE185" s="409">
        <v>0</v>
      </c>
      <c r="EF185" s="409">
        <v>0</v>
      </c>
      <c r="EG185" s="409"/>
      <c r="EH185" s="409">
        <v>0</v>
      </c>
      <c r="EI185" s="409">
        <v>0</v>
      </c>
      <c r="EJ185" s="409">
        <v>0</v>
      </c>
      <c r="EK185" s="409">
        <v>0</v>
      </c>
      <c r="EL185" s="409">
        <v>0</v>
      </c>
      <c r="EM185" s="409"/>
      <c r="EN185" s="409"/>
      <c r="EO185" s="409">
        <v>0</v>
      </c>
      <c r="EP185" s="409">
        <v>0</v>
      </c>
      <c r="EQ185" s="409"/>
      <c r="ER185" s="409">
        <v>0</v>
      </c>
      <c r="ES185" s="409"/>
      <c r="ET185" s="409">
        <v>0</v>
      </c>
      <c r="EU185" s="409"/>
      <c r="EV185" s="409">
        <v>254</v>
      </c>
      <c r="EW185" s="409"/>
      <c r="EX185" s="409"/>
      <c r="EY185" s="409"/>
      <c r="EZ185" s="409"/>
      <c r="FA185" s="409">
        <v>0</v>
      </c>
      <c r="FB185" s="409"/>
      <c r="FC185" s="409"/>
      <c r="FD185" s="409"/>
      <c r="FE185" s="409"/>
      <c r="FF185" s="409">
        <v>0</v>
      </c>
      <c r="FG185" s="409">
        <v>0</v>
      </c>
      <c r="FH185" s="409">
        <v>0</v>
      </c>
      <c r="FI185" s="409">
        <v>0</v>
      </c>
    </row>
    <row r="186" spans="1:165">
      <c r="A186" s="409">
        <v>184</v>
      </c>
      <c r="B186" s="409" t="s">
        <v>1035</v>
      </c>
      <c r="C186" s="409" t="s">
        <v>2244</v>
      </c>
      <c r="D186" s="409" t="s">
        <v>1994</v>
      </c>
      <c r="E186" s="409" t="s">
        <v>997</v>
      </c>
      <c r="F186" s="409" t="s">
        <v>1323</v>
      </c>
      <c r="G186" s="409" t="s">
        <v>1323</v>
      </c>
      <c r="H186" s="409" t="s">
        <v>1323</v>
      </c>
      <c r="I186" s="409" t="s">
        <v>1323</v>
      </c>
      <c r="J186" s="409" t="s">
        <v>2245</v>
      </c>
      <c r="K186" s="835">
        <v>44501</v>
      </c>
      <c r="L186" s="409">
        <v>0</v>
      </c>
      <c r="M186" s="409">
        <v>0</v>
      </c>
      <c r="N186" s="409">
        <v>69.272000000000006</v>
      </c>
      <c r="O186" s="409">
        <v>69.272000000000006</v>
      </c>
      <c r="P186" s="409">
        <v>69.272000000000006</v>
      </c>
      <c r="Q186" s="409">
        <v>69.272000000000006</v>
      </c>
      <c r="R186" s="409"/>
      <c r="S186" s="409">
        <v>597.01</v>
      </c>
      <c r="T186" s="409">
        <v>243.39</v>
      </c>
      <c r="U186" s="409"/>
      <c r="V186" s="409">
        <v>58216.188800000004</v>
      </c>
      <c r="W186" s="409">
        <v>58216.188800000004</v>
      </c>
      <c r="X186" s="409">
        <v>52735.388160000002</v>
      </c>
      <c r="Y186" s="409">
        <v>0</v>
      </c>
      <c r="Z186" s="409">
        <v>1723.7282509691684</v>
      </c>
      <c r="AA186" s="409">
        <v>0</v>
      </c>
      <c r="AB186" s="409">
        <v>0</v>
      </c>
      <c r="AC186" s="409">
        <v>0</v>
      </c>
      <c r="AD186" s="409">
        <v>8117.9209529216505</v>
      </c>
      <c r="AE186" s="409">
        <v>28404.188687372283</v>
      </c>
      <c r="AF186" s="409">
        <v>16859.921221872744</v>
      </c>
      <c r="AG186" s="409">
        <v>0</v>
      </c>
      <c r="AH186" s="409">
        <v>0</v>
      </c>
      <c r="AI186" s="409">
        <v>0</v>
      </c>
      <c r="AJ186" s="409">
        <v>0</v>
      </c>
      <c r="AK186" s="409">
        <v>0</v>
      </c>
      <c r="AL186" s="409">
        <v>703.74053965800931</v>
      </c>
      <c r="AM186" s="409"/>
      <c r="AN186" s="409">
        <v>118.93111701712957</v>
      </c>
      <c r="AO186" s="409">
        <v>0</v>
      </c>
      <c r="AP186" s="409">
        <v>0</v>
      </c>
      <c r="AQ186" s="409">
        <v>0</v>
      </c>
      <c r="AR186" s="409">
        <v>0</v>
      </c>
      <c r="AS186" s="409">
        <v>0</v>
      </c>
      <c r="AT186" s="409">
        <v>0</v>
      </c>
      <c r="AU186" s="409">
        <v>0</v>
      </c>
      <c r="AV186" s="409">
        <v>0</v>
      </c>
      <c r="AW186" s="409">
        <v>0</v>
      </c>
      <c r="AX186" s="409">
        <v>0</v>
      </c>
      <c r="AY186" s="409">
        <v>0</v>
      </c>
      <c r="AZ186" s="409">
        <v>0</v>
      </c>
      <c r="BA186" s="409"/>
      <c r="BB186" s="409">
        <v>0</v>
      </c>
      <c r="BC186" s="409">
        <v>0</v>
      </c>
      <c r="BD186" s="409">
        <v>0</v>
      </c>
      <c r="BE186" s="409">
        <v>0</v>
      </c>
      <c r="BF186" s="409">
        <v>0</v>
      </c>
      <c r="BG186" s="409">
        <v>2287.3149819122714</v>
      </c>
      <c r="BH186" s="409">
        <v>0</v>
      </c>
      <c r="BI186" s="409">
        <v>89.08</v>
      </c>
      <c r="BJ186" s="409">
        <v>411.28</v>
      </c>
      <c r="BK186" s="409">
        <v>5041.0200000000004</v>
      </c>
      <c r="BL186" s="409">
        <v>210</v>
      </c>
      <c r="BM186" s="409"/>
      <c r="BN186" s="409"/>
      <c r="BO186" s="409"/>
      <c r="BP186" s="409"/>
      <c r="BQ186" s="409"/>
      <c r="BR186" s="409"/>
      <c r="BS186" s="409"/>
      <c r="BT186" s="409"/>
      <c r="BU186" s="409"/>
      <c r="BV186" s="409">
        <v>19147.236203785014</v>
      </c>
      <c r="BW186" s="409"/>
      <c r="BX186" s="409"/>
      <c r="BY186" s="409"/>
      <c r="BZ186" s="409"/>
      <c r="CA186" s="409"/>
      <c r="CB186" s="409"/>
      <c r="CC186" s="409"/>
      <c r="CD186" s="409"/>
      <c r="CE186" s="409"/>
      <c r="CF186" s="409"/>
      <c r="CG186" s="409"/>
      <c r="CH186" s="409"/>
      <c r="CI186" s="409">
        <v>52733.865599999997</v>
      </c>
      <c r="CJ186" s="409">
        <v>-5482.3532000000123</v>
      </c>
      <c r="CK186" s="409"/>
      <c r="CL186" s="409"/>
      <c r="CM186" s="409"/>
      <c r="CN186" s="409"/>
      <c r="CO186" s="409">
        <v>-6066.8417599999993</v>
      </c>
      <c r="CP186" s="409">
        <v>586.04112000000055</v>
      </c>
      <c r="CQ186" s="409">
        <v>30</v>
      </c>
      <c r="CR186" s="409">
        <v>1030.3394676077805</v>
      </c>
      <c r="CS186" s="409">
        <v>0</v>
      </c>
      <c r="CT186" s="409">
        <v>0</v>
      </c>
      <c r="CU186" s="409">
        <v>0</v>
      </c>
      <c r="CV186" s="409">
        <v>0</v>
      </c>
      <c r="CW186" s="409">
        <v>0</v>
      </c>
      <c r="CX186" s="409">
        <v>0</v>
      </c>
      <c r="CY186" s="409">
        <v>0</v>
      </c>
      <c r="CZ186" s="409">
        <v>304.34587533392823</v>
      </c>
      <c r="DA186" s="409">
        <v>0</v>
      </c>
      <c r="DB186" s="409">
        <v>0</v>
      </c>
      <c r="DC186" s="409">
        <v>772.35141903045951</v>
      </c>
      <c r="DD186" s="409">
        <v>0</v>
      </c>
      <c r="DE186" s="409">
        <v>0</v>
      </c>
      <c r="DF186" s="409">
        <v>0</v>
      </c>
      <c r="DG186" s="409">
        <v>104.78168603526092</v>
      </c>
      <c r="DH186" s="409">
        <v>0</v>
      </c>
      <c r="DI186" s="409">
        <v>-12.570944531351643</v>
      </c>
      <c r="DJ186" s="409"/>
      <c r="DK186" s="409">
        <v>0</v>
      </c>
      <c r="DL186" s="409">
        <v>0</v>
      </c>
      <c r="DM186" s="409">
        <v>0</v>
      </c>
      <c r="DN186" s="409">
        <v>0</v>
      </c>
      <c r="DO186" s="409">
        <v>-3.9472470601972418</v>
      </c>
      <c r="DP186" s="409">
        <v>-7.0054407141858377</v>
      </c>
      <c r="DQ186" s="409">
        <v>0</v>
      </c>
      <c r="DR186" s="409">
        <v>-127.61588048613484</v>
      </c>
      <c r="DS186" s="409"/>
      <c r="DT186" s="409"/>
      <c r="DU186" s="409"/>
      <c r="DV186" s="409">
        <v>28404.188687372283</v>
      </c>
      <c r="DW186" s="409">
        <v>0</v>
      </c>
      <c r="DX186" s="409">
        <v>0</v>
      </c>
      <c r="DY186" s="409">
        <v>-6066.841760000003</v>
      </c>
      <c r="DZ186" s="409">
        <v>586.04112000000168</v>
      </c>
      <c r="EA186" s="409">
        <v>0</v>
      </c>
      <c r="EB186" s="409">
        <v>0</v>
      </c>
      <c r="EC186" s="409">
        <v>-6510.9079557471741</v>
      </c>
      <c r="ED186" s="409">
        <v>0</v>
      </c>
      <c r="EE186" s="409">
        <v>0</v>
      </c>
      <c r="EF186" s="409">
        <v>0</v>
      </c>
      <c r="EG186" s="409">
        <v>0</v>
      </c>
      <c r="EH186" s="409">
        <v>0</v>
      </c>
      <c r="EI186" s="409">
        <v>0</v>
      </c>
      <c r="EJ186" s="409">
        <v>0</v>
      </c>
      <c r="EK186" s="409">
        <v>0</v>
      </c>
      <c r="EL186" s="409">
        <v>0</v>
      </c>
      <c r="EM186" s="409">
        <v>0</v>
      </c>
      <c r="EN186" s="409">
        <v>0</v>
      </c>
      <c r="EO186" s="409">
        <v>0</v>
      </c>
      <c r="EP186" s="409">
        <v>0</v>
      </c>
      <c r="EQ186" s="409">
        <v>0</v>
      </c>
      <c r="ER186" s="409">
        <v>0</v>
      </c>
      <c r="ES186" s="409">
        <v>0</v>
      </c>
      <c r="ET186" s="409">
        <v>0</v>
      </c>
      <c r="EU186" s="409">
        <v>0</v>
      </c>
      <c r="EV186" s="409">
        <v>254</v>
      </c>
      <c r="EW186" s="409">
        <v>0</v>
      </c>
      <c r="EX186" s="409">
        <v>0</v>
      </c>
      <c r="EY186" s="409">
        <v>0</v>
      </c>
      <c r="EZ186" s="409"/>
      <c r="FA186" s="409">
        <v>0</v>
      </c>
      <c r="FB186" s="409"/>
      <c r="FC186" s="409"/>
      <c r="FD186" s="409"/>
      <c r="FE186" s="409"/>
      <c r="FF186" s="409">
        <v>0</v>
      </c>
      <c r="FG186" s="409">
        <v>0</v>
      </c>
      <c r="FH186" s="409">
        <v>0</v>
      </c>
      <c r="FI186" s="409">
        <v>0</v>
      </c>
    </row>
    <row r="187" spans="1:165">
      <c r="A187" s="409">
        <v>185</v>
      </c>
      <c r="B187" s="409" t="s">
        <v>2246</v>
      </c>
      <c r="C187" s="409" t="s">
        <v>2244</v>
      </c>
      <c r="D187" s="409" t="s">
        <v>1994</v>
      </c>
      <c r="E187" s="409" t="s">
        <v>997</v>
      </c>
      <c r="F187" s="409" t="s">
        <v>1323</v>
      </c>
      <c r="G187" s="409" t="s">
        <v>1323</v>
      </c>
      <c r="H187" s="409" t="s">
        <v>1323</v>
      </c>
      <c r="I187" s="409" t="s">
        <v>1323</v>
      </c>
      <c r="J187" s="409" t="s">
        <v>2245</v>
      </c>
      <c r="K187" s="835">
        <v>44501</v>
      </c>
      <c r="L187" s="409">
        <v>0</v>
      </c>
      <c r="M187" s="409">
        <v>0</v>
      </c>
      <c r="N187" s="409">
        <v>5.8289999999999997</v>
      </c>
      <c r="O187" s="409">
        <v>5.8289999999999997</v>
      </c>
      <c r="P187" s="409">
        <v>5.8289999999999997</v>
      </c>
      <c r="Q187" s="409">
        <v>5.8289999999999997</v>
      </c>
      <c r="R187" s="409"/>
      <c r="S187" s="409">
        <v>597.01</v>
      </c>
      <c r="T187" s="409">
        <v>243.39</v>
      </c>
      <c r="U187" s="409"/>
      <c r="V187" s="409">
        <v>4898.6916000000001</v>
      </c>
      <c r="W187" s="409">
        <v>4898.6916000000001</v>
      </c>
      <c r="X187" s="409">
        <v>4437.5011199999999</v>
      </c>
      <c r="Y187" s="409">
        <v>0</v>
      </c>
      <c r="Z187" s="409">
        <v>145.04579014463681</v>
      </c>
      <c r="AA187" s="409">
        <v>0</v>
      </c>
      <c r="AB187" s="409">
        <v>0</v>
      </c>
      <c r="AC187" s="409">
        <v>0</v>
      </c>
      <c r="AD187" s="409">
        <v>683.09506343948919</v>
      </c>
      <c r="AE187" s="409">
        <v>2390.1145608426641</v>
      </c>
      <c r="AF187" s="409">
        <v>1418.7042499465329</v>
      </c>
      <c r="AG187" s="409">
        <v>0</v>
      </c>
      <c r="AH187" s="409">
        <v>0</v>
      </c>
      <c r="AI187" s="409">
        <v>0</v>
      </c>
      <c r="AJ187" s="409">
        <v>0</v>
      </c>
      <c r="AK187" s="409">
        <v>0</v>
      </c>
      <c r="AL187" s="409">
        <v>59.217340421332366</v>
      </c>
      <c r="AM187" s="409"/>
      <c r="AN187" s="409">
        <v>10.007643508096319</v>
      </c>
      <c r="AO187" s="409">
        <v>0</v>
      </c>
      <c r="AP187" s="409">
        <v>0</v>
      </c>
      <c r="AQ187" s="409">
        <v>0</v>
      </c>
      <c r="AR187" s="409">
        <v>0</v>
      </c>
      <c r="AS187" s="409">
        <v>0</v>
      </c>
      <c r="AT187" s="409">
        <v>0</v>
      </c>
      <c r="AU187" s="409">
        <v>0</v>
      </c>
      <c r="AV187" s="409">
        <v>0</v>
      </c>
      <c r="AW187" s="409">
        <v>0</v>
      </c>
      <c r="AX187" s="409">
        <v>0</v>
      </c>
      <c r="AY187" s="409">
        <v>0</v>
      </c>
      <c r="AZ187" s="409">
        <v>0</v>
      </c>
      <c r="BA187" s="409"/>
      <c r="BB187" s="409">
        <v>0</v>
      </c>
      <c r="BC187" s="409">
        <v>0</v>
      </c>
      <c r="BD187" s="409">
        <v>0</v>
      </c>
      <c r="BE187" s="409">
        <v>0</v>
      </c>
      <c r="BF187" s="409">
        <v>0</v>
      </c>
      <c r="BG187" s="409">
        <v>192.46967071207166</v>
      </c>
      <c r="BH187" s="409">
        <v>0</v>
      </c>
      <c r="BI187" s="409">
        <v>0</v>
      </c>
      <c r="BJ187" s="409">
        <v>0</v>
      </c>
      <c r="BK187" s="409">
        <v>0</v>
      </c>
      <c r="BL187" s="409">
        <v>6</v>
      </c>
      <c r="BM187" s="409"/>
      <c r="BN187" s="409"/>
      <c r="BO187" s="409"/>
      <c r="BP187" s="409"/>
      <c r="BQ187" s="409"/>
      <c r="BR187" s="409"/>
      <c r="BS187" s="409"/>
      <c r="BT187" s="409"/>
      <c r="BU187" s="409"/>
      <c r="BV187" s="409">
        <v>1611.1739206586044</v>
      </c>
      <c r="BW187" s="409"/>
      <c r="BX187" s="409"/>
      <c r="BY187" s="409"/>
      <c r="BZ187" s="409"/>
      <c r="CA187" s="409"/>
      <c r="CB187" s="409"/>
      <c r="CC187" s="409"/>
      <c r="CD187" s="409"/>
      <c r="CE187" s="409"/>
      <c r="CF187" s="409"/>
      <c r="CG187" s="409"/>
      <c r="CH187" s="409"/>
      <c r="CI187" s="409">
        <v>4438.2623999999996</v>
      </c>
      <c r="CJ187" s="409">
        <v>-460.45920000000115</v>
      </c>
      <c r="CK187" s="409"/>
      <c r="CL187" s="409"/>
      <c r="CM187" s="409"/>
      <c r="CN187" s="409"/>
      <c r="CO187" s="409">
        <v>-510.50381999999991</v>
      </c>
      <c r="CP187" s="409">
        <v>49.313340000000046</v>
      </c>
      <c r="CQ187" s="409">
        <v>30</v>
      </c>
      <c r="CR187" s="409">
        <v>86.699514330258808</v>
      </c>
      <c r="CS187" s="409">
        <v>0</v>
      </c>
      <c r="CT187" s="409">
        <v>0</v>
      </c>
      <c r="CU187" s="409">
        <v>0</v>
      </c>
      <c r="CV187" s="409">
        <v>0</v>
      </c>
      <c r="CW187" s="409">
        <v>0</v>
      </c>
      <c r="CX187" s="409">
        <v>0</v>
      </c>
      <c r="CY187" s="409">
        <v>0</v>
      </c>
      <c r="CZ187" s="409">
        <v>25.609656243813788</v>
      </c>
      <c r="DA187" s="409">
        <v>0</v>
      </c>
      <c r="DB187" s="409">
        <v>0</v>
      </c>
      <c r="DC187" s="409">
        <v>64.990709399592106</v>
      </c>
      <c r="DD187" s="409">
        <v>0</v>
      </c>
      <c r="DE187" s="409">
        <v>0</v>
      </c>
      <c r="DF187" s="409">
        <v>0</v>
      </c>
      <c r="DG187" s="409">
        <v>8.8170176680265513</v>
      </c>
      <c r="DH187" s="409">
        <v>0</v>
      </c>
      <c r="DI187" s="409">
        <v>-1.0578016467439681</v>
      </c>
      <c r="DJ187" s="409"/>
      <c r="DK187" s="409">
        <v>0</v>
      </c>
      <c r="DL187" s="409">
        <v>0</v>
      </c>
      <c r="DM187" s="409">
        <v>0</v>
      </c>
      <c r="DN187" s="409">
        <v>0</v>
      </c>
      <c r="DO187" s="409">
        <v>-0.33214723284861947</v>
      </c>
      <c r="DP187" s="409">
        <v>-0.58948368638106707</v>
      </c>
      <c r="DQ187" s="409">
        <v>0</v>
      </c>
      <c r="DR187" s="409">
        <v>-10.738436415199214</v>
      </c>
      <c r="DS187" s="409"/>
      <c r="DT187" s="409"/>
      <c r="DU187" s="409"/>
      <c r="DV187" s="409">
        <v>2390.1145608426641</v>
      </c>
      <c r="DW187" s="409">
        <v>0</v>
      </c>
      <c r="DX187" s="409">
        <v>0</v>
      </c>
      <c r="DY187" s="409">
        <v>-510.50381999999991</v>
      </c>
      <c r="DZ187" s="409">
        <v>49.313339999999926</v>
      </c>
      <c r="EA187" s="409">
        <v>0</v>
      </c>
      <c r="EB187" s="409">
        <v>0</v>
      </c>
      <c r="EC187" s="409">
        <v>-547.87045955148233</v>
      </c>
      <c r="ED187" s="409">
        <v>0</v>
      </c>
      <c r="EE187" s="409">
        <v>0</v>
      </c>
      <c r="EF187" s="409">
        <v>0</v>
      </c>
      <c r="EG187" s="409">
        <v>0</v>
      </c>
      <c r="EH187" s="409">
        <v>0</v>
      </c>
      <c r="EI187" s="409">
        <v>0</v>
      </c>
      <c r="EJ187" s="409">
        <v>0</v>
      </c>
      <c r="EK187" s="409">
        <v>0</v>
      </c>
      <c r="EL187" s="409">
        <v>0</v>
      </c>
      <c r="EM187" s="409">
        <v>0</v>
      </c>
      <c r="EN187" s="409">
        <v>0</v>
      </c>
      <c r="EO187" s="409">
        <v>0</v>
      </c>
      <c r="EP187" s="409">
        <v>0</v>
      </c>
      <c r="EQ187" s="409">
        <v>0</v>
      </c>
      <c r="ER187" s="409">
        <v>0</v>
      </c>
      <c r="ES187" s="409">
        <v>0</v>
      </c>
      <c r="ET187" s="409">
        <v>0</v>
      </c>
      <c r="EU187" s="409">
        <v>0</v>
      </c>
      <c r="EV187" s="409">
        <v>254</v>
      </c>
      <c r="EW187" s="409">
        <v>0</v>
      </c>
      <c r="EX187" s="409">
        <v>0</v>
      </c>
      <c r="EY187" s="409">
        <v>0</v>
      </c>
      <c r="EZ187" s="409"/>
      <c r="FA187" s="409">
        <v>0</v>
      </c>
      <c r="FB187" s="409"/>
      <c r="FC187" s="409"/>
      <c r="FD187" s="409"/>
      <c r="FE187" s="409"/>
      <c r="FF187" s="409">
        <v>0</v>
      </c>
      <c r="FG187" s="409">
        <v>0</v>
      </c>
      <c r="FH187" s="409">
        <v>0</v>
      </c>
      <c r="FI187" s="409">
        <v>0</v>
      </c>
    </row>
    <row r="188" spans="1:165">
      <c r="A188" s="409">
        <v>186</v>
      </c>
      <c r="B188" s="409" t="s">
        <v>1035</v>
      </c>
      <c r="C188" s="409" t="s">
        <v>2252</v>
      </c>
      <c r="D188" s="409" t="s">
        <v>1994</v>
      </c>
      <c r="E188" s="409" t="s">
        <v>997</v>
      </c>
      <c r="F188" s="409" t="s">
        <v>1323</v>
      </c>
      <c r="G188" s="409" t="s">
        <v>1323</v>
      </c>
      <c r="H188" s="409" t="s">
        <v>1323</v>
      </c>
      <c r="I188" s="409" t="s">
        <v>972</v>
      </c>
      <c r="J188" s="409" t="s">
        <v>2245</v>
      </c>
      <c r="K188" s="835">
        <v>44501</v>
      </c>
      <c r="L188" s="409">
        <v>0</v>
      </c>
      <c r="M188" s="409">
        <v>0</v>
      </c>
      <c r="N188" s="409">
        <v>1.2E-2</v>
      </c>
      <c r="O188" s="409">
        <v>1.2E-2</v>
      </c>
      <c r="P188" s="409">
        <v>1.2E-2</v>
      </c>
      <c r="Q188" s="409">
        <v>1.2E-2</v>
      </c>
      <c r="R188" s="409"/>
      <c r="S188" s="409">
        <v>1783.27</v>
      </c>
      <c r="T188" s="409">
        <v>243.39</v>
      </c>
      <c r="U188" s="409"/>
      <c r="V188" s="409">
        <v>24.31992</v>
      </c>
      <c r="W188" s="409">
        <v>24.31992</v>
      </c>
      <c r="X188" s="409">
        <v>20.971440000000001</v>
      </c>
      <c r="Y188" s="409">
        <v>0</v>
      </c>
      <c r="Z188" s="409">
        <v>0.29860172958237119</v>
      </c>
      <c r="AA188" s="409">
        <v>0</v>
      </c>
      <c r="AB188" s="409">
        <v>0</v>
      </c>
      <c r="AC188" s="409">
        <v>0</v>
      </c>
      <c r="AD188" s="409">
        <v>4.5703759872473402</v>
      </c>
      <c r="AE188" s="409">
        <v>15.9915089353344</v>
      </c>
      <c r="AF188" s="409">
        <v>2.9206469376150959</v>
      </c>
      <c r="AG188" s="409">
        <v>0</v>
      </c>
      <c r="AH188" s="409">
        <v>0</v>
      </c>
      <c r="AI188" s="409">
        <v>0</v>
      </c>
      <c r="AJ188" s="409">
        <v>0</v>
      </c>
      <c r="AK188" s="409">
        <v>0</v>
      </c>
      <c r="AL188" s="409">
        <v>0.121909089904956</v>
      </c>
      <c r="AM188" s="409"/>
      <c r="AN188" s="409">
        <v>2.0602457041886398E-2</v>
      </c>
      <c r="AO188" s="409">
        <v>0</v>
      </c>
      <c r="AP188" s="409">
        <v>0</v>
      </c>
      <c r="AQ188" s="409">
        <v>0</v>
      </c>
      <c r="AR188" s="409">
        <v>0</v>
      </c>
      <c r="AS188" s="409">
        <v>0</v>
      </c>
      <c r="AT188" s="409">
        <v>0</v>
      </c>
      <c r="AU188" s="409">
        <v>0</v>
      </c>
      <c r="AV188" s="409">
        <v>0</v>
      </c>
      <c r="AW188" s="409">
        <v>0</v>
      </c>
      <c r="AX188" s="409">
        <v>0</v>
      </c>
      <c r="AY188" s="409">
        <v>0</v>
      </c>
      <c r="AZ188" s="409">
        <v>0</v>
      </c>
      <c r="BA188" s="409"/>
      <c r="BB188" s="409">
        <v>0</v>
      </c>
      <c r="BC188" s="409">
        <v>0</v>
      </c>
      <c r="BD188" s="409">
        <v>0</v>
      </c>
      <c r="BE188" s="409">
        <v>0</v>
      </c>
      <c r="BF188" s="409">
        <v>0</v>
      </c>
      <c r="BG188" s="409">
        <v>0.39623195205779038</v>
      </c>
      <c r="BH188" s="409">
        <v>0</v>
      </c>
      <c r="BI188" s="409">
        <v>0</v>
      </c>
      <c r="BJ188" s="409">
        <v>0</v>
      </c>
      <c r="BK188" s="409">
        <v>0</v>
      </c>
      <c r="BL188" s="409">
        <v>0</v>
      </c>
      <c r="BM188" s="409"/>
      <c r="BN188" s="409"/>
      <c r="BO188" s="409"/>
      <c r="BP188" s="409"/>
      <c r="BQ188" s="409"/>
      <c r="BR188" s="409"/>
      <c r="BS188" s="409"/>
      <c r="BT188" s="409"/>
      <c r="BU188" s="409"/>
      <c r="BV188" s="409">
        <v>3.3168788896728865</v>
      </c>
      <c r="BW188" s="409"/>
      <c r="BX188" s="409"/>
      <c r="BY188" s="409"/>
      <c r="BZ188" s="409"/>
      <c r="CA188" s="409"/>
      <c r="CB188" s="409"/>
      <c r="CC188" s="409"/>
      <c r="CD188" s="409"/>
      <c r="CE188" s="409"/>
      <c r="CF188" s="409"/>
      <c r="CG188" s="409"/>
      <c r="CH188" s="409"/>
      <c r="CI188" s="409">
        <v>17.476200000000002</v>
      </c>
      <c r="CJ188" s="409">
        <v>-6.8737200000000023</v>
      </c>
      <c r="CK188" s="409"/>
      <c r="CL188" s="409"/>
      <c r="CM188" s="409"/>
      <c r="CN188" s="409"/>
      <c r="CO188" s="409">
        <v>-3.45</v>
      </c>
      <c r="CP188" s="409">
        <v>0.1015200000000001</v>
      </c>
      <c r="CQ188" s="409">
        <v>30</v>
      </c>
      <c r="CR188" s="409">
        <v>0.31720665516410662</v>
      </c>
      <c r="CS188" s="409">
        <v>0</v>
      </c>
      <c r="CT188" s="409">
        <v>0</v>
      </c>
      <c r="CU188" s="409">
        <v>0</v>
      </c>
      <c r="CV188" s="409">
        <v>0</v>
      </c>
      <c r="CW188" s="409">
        <v>0</v>
      </c>
      <c r="CX188" s="409">
        <v>0</v>
      </c>
      <c r="CY188" s="409">
        <v>0</v>
      </c>
      <c r="CZ188" s="409">
        <v>0.17134622134293576</v>
      </c>
      <c r="DA188" s="409">
        <v>0</v>
      </c>
      <c r="DB188" s="409">
        <v>0</v>
      </c>
      <c r="DC188" s="409">
        <v>0.13379456386946398</v>
      </c>
      <c r="DD188" s="409">
        <v>0</v>
      </c>
      <c r="DE188" s="409">
        <v>0</v>
      </c>
      <c r="DF188" s="409">
        <v>0</v>
      </c>
      <c r="DG188" s="409">
        <v>1.8151348776174026E-2</v>
      </c>
      <c r="DH188" s="409">
        <v>0</v>
      </c>
      <c r="DI188" s="409">
        <v>-2.1776667972083774E-3</v>
      </c>
      <c r="DJ188" s="409"/>
      <c r="DK188" s="409">
        <v>0</v>
      </c>
      <c r="DL188" s="409">
        <v>0</v>
      </c>
      <c r="DM188" s="409">
        <v>0</v>
      </c>
      <c r="DN188" s="409">
        <v>0</v>
      </c>
      <c r="DO188" s="409">
        <v>-6.8378226011039933E-4</v>
      </c>
      <c r="DP188" s="409">
        <v>-1.2135536518395572E-3</v>
      </c>
      <c r="DQ188" s="409">
        <v>0</v>
      </c>
      <c r="DR188" s="409">
        <v>-2.0104761153067197E-3</v>
      </c>
      <c r="DS188" s="409"/>
      <c r="DT188" s="409"/>
      <c r="DU188" s="409"/>
      <c r="DV188" s="409">
        <v>15.9915089353344</v>
      </c>
      <c r="DW188" s="409">
        <v>0</v>
      </c>
      <c r="DX188" s="409">
        <v>0</v>
      </c>
      <c r="DY188" s="409">
        <v>-3.4499999999999993</v>
      </c>
      <c r="DZ188" s="409">
        <v>0.10151999999999983</v>
      </c>
      <c r="EA188" s="409">
        <v>0</v>
      </c>
      <c r="EB188" s="409">
        <v>0</v>
      </c>
      <c r="EC188" s="409">
        <v>-3.66562987936212</v>
      </c>
      <c r="ED188" s="409">
        <v>0</v>
      </c>
      <c r="EE188" s="409">
        <v>0</v>
      </c>
      <c r="EF188" s="409">
        <v>0</v>
      </c>
      <c r="EG188" s="409">
        <v>0</v>
      </c>
      <c r="EH188" s="409">
        <v>0</v>
      </c>
      <c r="EI188" s="409">
        <v>0</v>
      </c>
      <c r="EJ188" s="409">
        <v>0</v>
      </c>
      <c r="EK188" s="409">
        <v>0</v>
      </c>
      <c r="EL188" s="409">
        <v>0</v>
      </c>
      <c r="EM188" s="409">
        <v>0</v>
      </c>
      <c r="EN188" s="409">
        <v>0</v>
      </c>
      <c r="EO188" s="409">
        <v>0</v>
      </c>
      <c r="EP188" s="409">
        <v>0</v>
      </c>
      <c r="EQ188" s="409">
        <v>0</v>
      </c>
      <c r="ER188" s="409">
        <v>0</v>
      </c>
      <c r="ES188" s="409">
        <v>0</v>
      </c>
      <c r="ET188" s="409">
        <v>0</v>
      </c>
      <c r="EU188" s="409">
        <v>0</v>
      </c>
      <c r="EV188" s="409">
        <v>254</v>
      </c>
      <c r="EW188" s="409">
        <v>0</v>
      </c>
      <c r="EX188" s="409">
        <v>0</v>
      </c>
      <c r="EY188" s="409">
        <v>0</v>
      </c>
      <c r="EZ188" s="409"/>
      <c r="FA188" s="409">
        <v>0</v>
      </c>
      <c r="FB188" s="409"/>
      <c r="FC188" s="409"/>
      <c r="FD188" s="409"/>
      <c r="FE188" s="409"/>
      <c r="FF188" s="409">
        <v>0</v>
      </c>
      <c r="FG188" s="409">
        <v>0</v>
      </c>
      <c r="FH188" s="409">
        <v>0</v>
      </c>
      <c r="FI188" s="409">
        <v>0</v>
      </c>
    </row>
    <row r="189" spans="1:165">
      <c r="A189" s="409">
        <v>187</v>
      </c>
      <c r="B189" s="409" t="s">
        <v>1035</v>
      </c>
      <c r="C189" s="409" t="s">
        <v>2252</v>
      </c>
      <c r="D189" s="409" t="s">
        <v>1994</v>
      </c>
      <c r="E189" s="409" t="s">
        <v>997</v>
      </c>
      <c r="F189" s="409" t="s">
        <v>1323</v>
      </c>
      <c r="G189" s="409" t="s">
        <v>1323</v>
      </c>
      <c r="H189" s="409" t="s">
        <v>1323</v>
      </c>
      <c r="I189" s="409" t="s">
        <v>2237</v>
      </c>
      <c r="J189" s="409" t="s">
        <v>2245</v>
      </c>
      <c r="K189" s="835">
        <v>44501</v>
      </c>
      <c r="L189" s="409">
        <v>0</v>
      </c>
      <c r="M189" s="409">
        <v>0</v>
      </c>
      <c r="N189" s="409">
        <v>0.53900000000000003</v>
      </c>
      <c r="O189" s="409">
        <v>0.53900000000000003</v>
      </c>
      <c r="P189" s="409">
        <v>0.53900000000000003</v>
      </c>
      <c r="Q189" s="409">
        <v>0.53900000000000003</v>
      </c>
      <c r="R189" s="409"/>
      <c r="S189" s="409">
        <v>412.48</v>
      </c>
      <c r="T189" s="409">
        <v>243.39</v>
      </c>
      <c r="U189" s="409"/>
      <c r="V189" s="409">
        <v>353.51393000000002</v>
      </c>
      <c r="W189" s="409">
        <v>353.51393000000002</v>
      </c>
      <c r="X189" s="409">
        <v>327.63115000000005</v>
      </c>
      <c r="Y189" s="409">
        <v>0</v>
      </c>
      <c r="Z189" s="409">
        <v>13.412194353741507</v>
      </c>
      <c r="AA189" s="409">
        <v>0</v>
      </c>
      <c r="AB189" s="409">
        <v>0</v>
      </c>
      <c r="AC189" s="409">
        <v>0</v>
      </c>
      <c r="AD189" s="409">
        <v>41.057859190461059</v>
      </c>
      <c r="AE189" s="409">
        <v>143.65711591439748</v>
      </c>
      <c r="AF189" s="409">
        <v>131.18572494787807</v>
      </c>
      <c r="AG189" s="409">
        <v>0</v>
      </c>
      <c r="AH189" s="409">
        <v>0</v>
      </c>
      <c r="AI189" s="409">
        <v>0</v>
      </c>
      <c r="AJ189" s="409">
        <v>0</v>
      </c>
      <c r="AK189" s="409">
        <v>0</v>
      </c>
      <c r="AL189" s="409">
        <v>5.4757499548976067</v>
      </c>
      <c r="AM189" s="409"/>
      <c r="AN189" s="409">
        <v>0.92539369546473083</v>
      </c>
      <c r="AO189" s="409">
        <v>0</v>
      </c>
      <c r="AP189" s="409">
        <v>0</v>
      </c>
      <c r="AQ189" s="409">
        <v>0</v>
      </c>
      <c r="AR189" s="409">
        <v>0</v>
      </c>
      <c r="AS189" s="409">
        <v>0</v>
      </c>
      <c r="AT189" s="409">
        <v>0</v>
      </c>
      <c r="AU189" s="409">
        <v>0</v>
      </c>
      <c r="AV189" s="409">
        <v>0</v>
      </c>
      <c r="AW189" s="409">
        <v>0</v>
      </c>
      <c r="AX189" s="409">
        <v>0</v>
      </c>
      <c r="AY189" s="409">
        <v>0</v>
      </c>
      <c r="AZ189" s="409">
        <v>0</v>
      </c>
      <c r="BA189" s="409"/>
      <c r="BB189" s="409">
        <v>0</v>
      </c>
      <c r="BC189" s="409">
        <v>0</v>
      </c>
      <c r="BD189" s="409">
        <v>0</v>
      </c>
      <c r="BE189" s="409">
        <v>0</v>
      </c>
      <c r="BF189" s="409">
        <v>0</v>
      </c>
      <c r="BG189" s="409">
        <v>17.797418513262418</v>
      </c>
      <c r="BH189" s="409">
        <v>0</v>
      </c>
      <c r="BI189" s="409">
        <v>0</v>
      </c>
      <c r="BJ189" s="409">
        <v>0</v>
      </c>
      <c r="BK189" s="409">
        <v>0</v>
      </c>
      <c r="BL189" s="409">
        <v>0</v>
      </c>
      <c r="BM189" s="409"/>
      <c r="BN189" s="409"/>
      <c r="BO189" s="409"/>
      <c r="BP189" s="409"/>
      <c r="BQ189" s="409"/>
      <c r="BR189" s="409"/>
      <c r="BS189" s="409"/>
      <c r="BT189" s="409"/>
      <c r="BU189" s="409"/>
      <c r="BV189" s="409">
        <v>148.98314346114049</v>
      </c>
      <c r="BW189" s="409"/>
      <c r="BX189" s="409"/>
      <c r="BY189" s="409"/>
      <c r="BZ189" s="409"/>
      <c r="CA189" s="409"/>
      <c r="CB189" s="409"/>
      <c r="CC189" s="409"/>
      <c r="CD189" s="409"/>
      <c r="CE189" s="409"/>
      <c r="CF189" s="409"/>
      <c r="CG189" s="409"/>
      <c r="CH189" s="409"/>
      <c r="CI189" s="409">
        <v>328.23900000000003</v>
      </c>
      <c r="CJ189" s="409">
        <v>-25.304929999999956</v>
      </c>
      <c r="CK189" s="409"/>
      <c r="CL189" s="409"/>
      <c r="CM189" s="409"/>
      <c r="CN189" s="409"/>
      <c r="CO189" s="409">
        <v>-30.442720000000012</v>
      </c>
      <c r="CP189" s="409">
        <v>4.5599400000000045</v>
      </c>
      <c r="CQ189" s="409">
        <v>30</v>
      </c>
      <c r="CR189" s="409">
        <v>7.0477703401881229</v>
      </c>
      <c r="CS189" s="409">
        <v>0</v>
      </c>
      <c r="CT189" s="409">
        <v>0</v>
      </c>
      <c r="CU189" s="409">
        <v>0</v>
      </c>
      <c r="CV189" s="409">
        <v>0</v>
      </c>
      <c r="CW189" s="409">
        <v>0</v>
      </c>
      <c r="CX189" s="409">
        <v>0</v>
      </c>
      <c r="CY189" s="409">
        <v>0</v>
      </c>
      <c r="CZ189" s="409">
        <v>1.5392845245874867</v>
      </c>
      <c r="DA189" s="409">
        <v>0</v>
      </c>
      <c r="DB189" s="409">
        <v>0</v>
      </c>
      <c r="DC189" s="409">
        <v>6.0096058271367667</v>
      </c>
      <c r="DD189" s="409">
        <v>0</v>
      </c>
      <c r="DE189" s="409">
        <v>0</v>
      </c>
      <c r="DF189" s="409">
        <v>0</v>
      </c>
      <c r="DG189" s="409">
        <v>0.81529808252981795</v>
      </c>
      <c r="DH189" s="409">
        <v>0</v>
      </c>
      <c r="DI189" s="409">
        <v>-9.7813533641275541E-2</v>
      </c>
      <c r="DJ189" s="409"/>
      <c r="DK189" s="409">
        <v>0</v>
      </c>
      <c r="DL189" s="409">
        <v>0</v>
      </c>
      <c r="DM189" s="409">
        <v>0</v>
      </c>
      <c r="DN189" s="409">
        <v>0</v>
      </c>
      <c r="DO189" s="409">
        <v>-3.0713219849958229E-2</v>
      </c>
      <c r="DP189" s="409">
        <v>-5.4508784861793558E-2</v>
      </c>
      <c r="DQ189" s="409">
        <v>0</v>
      </c>
      <c r="DR189" s="409">
        <v>-1.1333825557129877</v>
      </c>
      <c r="DS189" s="409"/>
      <c r="DT189" s="409"/>
      <c r="DU189" s="409"/>
      <c r="DV189" s="409">
        <v>143.65711591439748</v>
      </c>
      <c r="DW189" s="409">
        <v>0</v>
      </c>
      <c r="DX189" s="409">
        <v>0</v>
      </c>
      <c r="DY189" s="409">
        <v>-30.442720000000008</v>
      </c>
      <c r="DZ189" s="409">
        <v>4.5599400000000117</v>
      </c>
      <c r="EA189" s="409">
        <v>0</v>
      </c>
      <c r="EB189" s="409">
        <v>0</v>
      </c>
      <c r="EC189" s="409">
        <v>-32.929588984267056</v>
      </c>
      <c r="ED189" s="409">
        <v>0</v>
      </c>
      <c r="EE189" s="409">
        <v>0</v>
      </c>
      <c r="EF189" s="409">
        <v>0</v>
      </c>
      <c r="EG189" s="409">
        <v>0</v>
      </c>
      <c r="EH189" s="409">
        <v>0</v>
      </c>
      <c r="EI189" s="409">
        <v>0</v>
      </c>
      <c r="EJ189" s="409">
        <v>0</v>
      </c>
      <c r="EK189" s="409">
        <v>0</v>
      </c>
      <c r="EL189" s="409">
        <v>0</v>
      </c>
      <c r="EM189" s="409">
        <v>0</v>
      </c>
      <c r="EN189" s="409">
        <v>0</v>
      </c>
      <c r="EO189" s="409">
        <v>0</v>
      </c>
      <c r="EP189" s="409">
        <v>0</v>
      </c>
      <c r="EQ189" s="409">
        <v>0</v>
      </c>
      <c r="ER189" s="409">
        <v>0</v>
      </c>
      <c r="ES189" s="409">
        <v>0</v>
      </c>
      <c r="ET189" s="409">
        <v>0</v>
      </c>
      <c r="EU189" s="409">
        <v>0</v>
      </c>
      <c r="EV189" s="409">
        <v>254</v>
      </c>
      <c r="EW189" s="409">
        <v>0</v>
      </c>
      <c r="EX189" s="409">
        <v>0</v>
      </c>
      <c r="EY189" s="409">
        <v>0</v>
      </c>
      <c r="EZ189" s="409"/>
      <c r="FA189" s="409">
        <v>0</v>
      </c>
      <c r="FB189" s="409"/>
      <c r="FC189" s="409"/>
      <c r="FD189" s="409"/>
      <c r="FE189" s="409"/>
      <c r="FF189" s="409">
        <v>0</v>
      </c>
      <c r="FG189" s="409">
        <v>0</v>
      </c>
      <c r="FH189" s="409">
        <v>0</v>
      </c>
      <c r="FI189" s="409">
        <v>0</v>
      </c>
    </row>
    <row r="190" spans="1:165">
      <c r="A190" s="409">
        <v>188</v>
      </c>
      <c r="B190" s="409" t="s">
        <v>1035</v>
      </c>
      <c r="C190" s="409" t="s">
        <v>2252</v>
      </c>
      <c r="D190" s="409" t="s">
        <v>1994</v>
      </c>
      <c r="E190" s="409" t="s">
        <v>997</v>
      </c>
      <c r="F190" s="409" t="s">
        <v>1323</v>
      </c>
      <c r="G190" s="409" t="s">
        <v>1323</v>
      </c>
      <c r="H190" s="409" t="s">
        <v>1323</v>
      </c>
      <c r="I190" s="409" t="s">
        <v>1323</v>
      </c>
      <c r="J190" s="409" t="s">
        <v>2245</v>
      </c>
      <c r="K190" s="835">
        <v>44501</v>
      </c>
      <c r="L190" s="409">
        <v>0</v>
      </c>
      <c r="M190" s="409">
        <v>0</v>
      </c>
      <c r="N190" s="409">
        <v>0</v>
      </c>
      <c r="O190" s="409">
        <v>0</v>
      </c>
      <c r="P190" s="409">
        <v>0</v>
      </c>
      <c r="Q190" s="409">
        <v>0</v>
      </c>
      <c r="R190" s="409"/>
      <c r="S190" s="409"/>
      <c r="T190" s="409"/>
      <c r="U190" s="409"/>
      <c r="V190" s="409"/>
      <c r="W190" s="409"/>
      <c r="X190" s="409"/>
      <c r="Y190" s="409"/>
      <c r="Z190" s="409"/>
      <c r="AA190" s="409">
        <v>0</v>
      </c>
      <c r="AB190" s="409"/>
      <c r="AC190" s="409"/>
      <c r="AD190" s="409"/>
      <c r="AE190" s="409"/>
      <c r="AF190" s="409"/>
      <c r="AG190" s="409"/>
      <c r="AH190" s="409"/>
      <c r="AI190" s="409"/>
      <c r="AJ190" s="409"/>
      <c r="AK190" s="409"/>
      <c r="AL190" s="409"/>
      <c r="AM190" s="409"/>
      <c r="AN190" s="409"/>
      <c r="AO190" s="409"/>
      <c r="AP190" s="409"/>
      <c r="AQ190" s="409"/>
      <c r="AR190" s="409"/>
      <c r="AS190" s="409"/>
      <c r="AT190" s="409"/>
      <c r="AU190" s="409"/>
      <c r="AV190" s="409"/>
      <c r="AW190" s="409"/>
      <c r="AX190" s="409"/>
      <c r="AY190" s="409"/>
      <c r="AZ190" s="409">
        <v>0</v>
      </c>
      <c r="BA190" s="409"/>
      <c r="BB190" s="409"/>
      <c r="BC190" s="409"/>
      <c r="BD190" s="409"/>
      <c r="BE190" s="409"/>
      <c r="BF190" s="409"/>
      <c r="BG190" s="409"/>
      <c r="BH190" s="409"/>
      <c r="BI190" s="409">
        <v>0</v>
      </c>
      <c r="BJ190" s="409">
        <v>0</v>
      </c>
      <c r="BK190" s="409">
        <v>0</v>
      </c>
      <c r="BL190" s="409">
        <v>1</v>
      </c>
      <c r="BM190" s="409"/>
      <c r="BN190" s="409"/>
      <c r="BO190" s="409"/>
      <c r="BP190" s="409"/>
      <c r="BQ190" s="409"/>
      <c r="BR190" s="409"/>
      <c r="BS190" s="409"/>
      <c r="BT190" s="409"/>
      <c r="BU190" s="409"/>
      <c r="BV190" s="409"/>
      <c r="BW190" s="409"/>
      <c r="BX190" s="409"/>
      <c r="BY190" s="409"/>
      <c r="BZ190" s="409"/>
      <c r="CA190" s="409"/>
      <c r="CB190" s="409"/>
      <c r="CC190" s="409"/>
      <c r="CD190" s="409"/>
      <c r="CE190" s="409"/>
      <c r="CF190" s="409"/>
      <c r="CG190" s="409"/>
      <c r="CH190" s="409"/>
      <c r="CI190" s="409"/>
      <c r="CJ190" s="409">
        <v>-0.03</v>
      </c>
      <c r="CK190" s="409"/>
      <c r="CL190" s="409"/>
      <c r="CM190" s="409"/>
      <c r="CN190" s="409"/>
      <c r="CO190" s="409">
        <v>0</v>
      </c>
      <c r="CP190" s="409">
        <v>0</v>
      </c>
      <c r="CQ190" s="409">
        <v>30</v>
      </c>
      <c r="CR190" s="409"/>
      <c r="CS190" s="409"/>
      <c r="CT190" s="409"/>
      <c r="CU190" s="409"/>
      <c r="CV190" s="409"/>
      <c r="CW190" s="409"/>
      <c r="CX190" s="409"/>
      <c r="CY190" s="409"/>
      <c r="CZ190" s="409"/>
      <c r="DA190" s="409"/>
      <c r="DB190" s="409"/>
      <c r="DC190" s="409"/>
      <c r="DD190" s="409"/>
      <c r="DE190" s="409"/>
      <c r="DF190" s="409"/>
      <c r="DG190" s="409"/>
      <c r="DH190" s="409"/>
      <c r="DI190" s="409"/>
      <c r="DJ190" s="409"/>
      <c r="DK190" s="409">
        <v>0</v>
      </c>
      <c r="DL190" s="409"/>
      <c r="DM190" s="409"/>
      <c r="DN190" s="409"/>
      <c r="DO190" s="409"/>
      <c r="DP190" s="409"/>
      <c r="DQ190" s="409"/>
      <c r="DR190" s="409"/>
      <c r="DS190" s="409"/>
      <c r="DT190" s="409"/>
      <c r="DU190" s="409"/>
      <c r="DV190" s="409"/>
      <c r="DW190" s="409"/>
      <c r="DX190" s="409"/>
      <c r="DY190" s="409"/>
      <c r="DZ190" s="409"/>
      <c r="EA190" s="409"/>
      <c r="EB190" s="409"/>
      <c r="EC190" s="409"/>
      <c r="ED190" s="409"/>
      <c r="EE190" s="409"/>
      <c r="EF190" s="409"/>
      <c r="EG190" s="409"/>
      <c r="EH190" s="409"/>
      <c r="EI190" s="409"/>
      <c r="EJ190" s="409"/>
      <c r="EK190" s="409"/>
      <c r="EL190" s="409"/>
      <c r="EM190" s="409"/>
      <c r="EN190" s="409"/>
      <c r="EO190" s="409"/>
      <c r="EP190" s="409"/>
      <c r="EQ190" s="409"/>
      <c r="ER190" s="409"/>
      <c r="ES190" s="409"/>
      <c r="ET190" s="409"/>
      <c r="EU190" s="409"/>
      <c r="EV190" s="409">
        <v>254</v>
      </c>
      <c r="EW190" s="409"/>
      <c r="EX190" s="409"/>
      <c r="EY190" s="409"/>
      <c r="EZ190" s="409"/>
      <c r="FA190" s="409">
        <v>0</v>
      </c>
      <c r="FB190" s="409"/>
      <c r="FC190" s="409"/>
      <c r="FD190" s="409"/>
      <c r="FE190" s="409"/>
      <c r="FF190" s="409">
        <v>0</v>
      </c>
      <c r="FG190" s="409">
        <v>0</v>
      </c>
      <c r="FH190" s="409">
        <v>0</v>
      </c>
      <c r="FI190" s="409">
        <v>0</v>
      </c>
    </row>
    <row r="191" spans="1:165">
      <c r="A191" s="409">
        <v>189</v>
      </c>
      <c r="B191" s="409" t="s">
        <v>1035</v>
      </c>
      <c r="C191" s="409" t="s">
        <v>2252</v>
      </c>
      <c r="D191" s="409" t="s">
        <v>1994</v>
      </c>
      <c r="E191" s="409" t="s">
        <v>997</v>
      </c>
      <c r="F191" s="409" t="s">
        <v>1323</v>
      </c>
      <c r="G191" s="409" t="s">
        <v>1323</v>
      </c>
      <c r="H191" s="409" t="s">
        <v>1323</v>
      </c>
      <c r="I191" s="409" t="s">
        <v>2253</v>
      </c>
      <c r="J191" s="409" t="s">
        <v>2245</v>
      </c>
      <c r="K191" s="835">
        <v>44501</v>
      </c>
      <c r="L191" s="409">
        <v>0</v>
      </c>
      <c r="M191" s="409">
        <v>0</v>
      </c>
      <c r="N191" s="409">
        <v>1.9E-2</v>
      </c>
      <c r="O191" s="409">
        <v>1.9E-2</v>
      </c>
      <c r="P191" s="409">
        <v>1.9E-2</v>
      </c>
      <c r="Q191" s="409">
        <v>1.9E-2</v>
      </c>
      <c r="R191" s="409"/>
      <c r="S191" s="409">
        <v>1097.8699999999999</v>
      </c>
      <c r="T191" s="409">
        <v>243.39</v>
      </c>
      <c r="U191" s="409"/>
      <c r="V191" s="409">
        <v>25.483939999999997</v>
      </c>
      <c r="W191" s="409">
        <v>25.483939999999997</v>
      </c>
      <c r="X191" s="409">
        <v>22.376869999999997</v>
      </c>
      <c r="Y191" s="409">
        <v>0</v>
      </c>
      <c r="Z191" s="409">
        <v>0.47278607183875437</v>
      </c>
      <c r="AA191" s="409">
        <v>0</v>
      </c>
      <c r="AB191" s="409">
        <v>0</v>
      </c>
      <c r="AC191" s="409">
        <v>0</v>
      </c>
      <c r="AD191" s="409">
        <v>4.3418905850658511</v>
      </c>
      <c r="AE191" s="409">
        <v>15.191930994496504</v>
      </c>
      <c r="AF191" s="409">
        <v>4.6243576512239013</v>
      </c>
      <c r="AG191" s="409">
        <v>0</v>
      </c>
      <c r="AH191" s="409">
        <v>0</v>
      </c>
      <c r="AI191" s="409">
        <v>0</v>
      </c>
      <c r="AJ191" s="409">
        <v>0</v>
      </c>
      <c r="AK191" s="409">
        <v>0</v>
      </c>
      <c r="AL191" s="409">
        <v>0.19302272568284698</v>
      </c>
      <c r="AM191" s="409"/>
      <c r="AN191" s="409">
        <v>3.2620556982986798E-2</v>
      </c>
      <c r="AO191" s="409">
        <v>0</v>
      </c>
      <c r="AP191" s="409">
        <v>0</v>
      </c>
      <c r="AQ191" s="409">
        <v>0</v>
      </c>
      <c r="AR191" s="409">
        <v>0</v>
      </c>
      <c r="AS191" s="409">
        <v>0</v>
      </c>
      <c r="AT191" s="409">
        <v>0</v>
      </c>
      <c r="AU191" s="409">
        <v>0</v>
      </c>
      <c r="AV191" s="409">
        <v>0</v>
      </c>
      <c r="AW191" s="409">
        <v>0</v>
      </c>
      <c r="AX191" s="409">
        <v>0</v>
      </c>
      <c r="AY191" s="409">
        <v>0</v>
      </c>
      <c r="AZ191" s="409">
        <v>0</v>
      </c>
      <c r="BA191" s="409"/>
      <c r="BB191" s="409">
        <v>0</v>
      </c>
      <c r="BC191" s="409">
        <v>0</v>
      </c>
      <c r="BD191" s="409">
        <v>0</v>
      </c>
      <c r="BE191" s="409">
        <v>0</v>
      </c>
      <c r="BF191" s="409">
        <v>0</v>
      </c>
      <c r="BG191" s="409">
        <v>0.62736725742483479</v>
      </c>
      <c r="BH191" s="409">
        <v>0</v>
      </c>
      <c r="BI191" s="409">
        <v>0</v>
      </c>
      <c r="BJ191" s="409">
        <v>0</v>
      </c>
      <c r="BK191" s="409">
        <v>0</v>
      </c>
      <c r="BL191" s="409">
        <v>0</v>
      </c>
      <c r="BM191" s="409"/>
      <c r="BN191" s="409"/>
      <c r="BO191" s="409"/>
      <c r="BP191" s="409"/>
      <c r="BQ191" s="409"/>
      <c r="BR191" s="409"/>
      <c r="BS191" s="409"/>
      <c r="BT191" s="409"/>
      <c r="BU191" s="409"/>
      <c r="BV191" s="409">
        <v>5.2517249086487361</v>
      </c>
      <c r="BW191" s="409"/>
      <c r="BX191" s="409"/>
      <c r="BY191" s="409"/>
      <c r="BZ191" s="409"/>
      <c r="CA191" s="409"/>
      <c r="CB191" s="409"/>
      <c r="CC191" s="409"/>
      <c r="CD191" s="409"/>
      <c r="CE191" s="409"/>
      <c r="CF191" s="409"/>
      <c r="CG191" s="409"/>
      <c r="CH191" s="409"/>
      <c r="CI191" s="409">
        <v>23.554600000000001</v>
      </c>
      <c r="CJ191" s="409">
        <v>-1.959340000000001</v>
      </c>
      <c r="CK191" s="409"/>
      <c r="CL191" s="409"/>
      <c r="CM191" s="409"/>
      <c r="CN191" s="409"/>
      <c r="CO191" s="409">
        <v>-3.2678099999999981</v>
      </c>
      <c r="CP191" s="409">
        <v>0.16074000000000016</v>
      </c>
      <c r="CQ191" s="409">
        <v>30</v>
      </c>
      <c r="CR191" s="409">
        <v>0.37534137176531068</v>
      </c>
      <c r="CS191" s="409">
        <v>0</v>
      </c>
      <c r="CT191" s="409">
        <v>0</v>
      </c>
      <c r="CU191" s="409">
        <v>0</v>
      </c>
      <c r="CV191" s="409">
        <v>0</v>
      </c>
      <c r="CW191" s="409">
        <v>0</v>
      </c>
      <c r="CX191" s="409">
        <v>0</v>
      </c>
      <c r="CY191" s="409">
        <v>0</v>
      </c>
      <c r="CZ191" s="409">
        <v>0.16278016235675441</v>
      </c>
      <c r="DA191" s="409">
        <v>0</v>
      </c>
      <c r="DB191" s="409">
        <v>0</v>
      </c>
      <c r="DC191" s="409">
        <v>0.21184139279331848</v>
      </c>
      <c r="DD191" s="409">
        <v>0</v>
      </c>
      <c r="DE191" s="409">
        <v>0</v>
      </c>
      <c r="DF191" s="409">
        <v>0</v>
      </c>
      <c r="DG191" s="409">
        <v>2.8739635562275545E-2</v>
      </c>
      <c r="DH191" s="409">
        <v>0</v>
      </c>
      <c r="DI191" s="409">
        <v>-3.4479724289132596E-3</v>
      </c>
      <c r="DJ191" s="409"/>
      <c r="DK191" s="409">
        <v>0</v>
      </c>
      <c r="DL191" s="409">
        <v>0</v>
      </c>
      <c r="DM191" s="409">
        <v>0</v>
      </c>
      <c r="DN191" s="409">
        <v>0</v>
      </c>
      <c r="DO191" s="409">
        <v>-1.0826552451747851E-3</v>
      </c>
      <c r="DP191" s="409">
        <v>-1.9214599487459676E-3</v>
      </c>
      <c r="DQ191" s="409">
        <v>0</v>
      </c>
      <c r="DR191" s="409">
        <v>-2.1567731324201651E-2</v>
      </c>
      <c r="DS191" s="409"/>
      <c r="DT191" s="409"/>
      <c r="DU191" s="409"/>
      <c r="DV191" s="409">
        <v>15.191930994496504</v>
      </c>
      <c r="DW191" s="409">
        <v>0</v>
      </c>
      <c r="DX191" s="409">
        <v>0</v>
      </c>
      <c r="DY191" s="409">
        <v>-3.2678099999999972</v>
      </c>
      <c r="DZ191" s="409">
        <v>0.16074000000000055</v>
      </c>
      <c r="EA191" s="409">
        <v>0</v>
      </c>
      <c r="EB191" s="409">
        <v>0</v>
      </c>
      <c r="EC191" s="409">
        <v>-3.4823478136942345</v>
      </c>
      <c r="ED191" s="409">
        <v>0</v>
      </c>
      <c r="EE191" s="409">
        <v>0</v>
      </c>
      <c r="EF191" s="409">
        <v>0</v>
      </c>
      <c r="EG191" s="409">
        <v>0</v>
      </c>
      <c r="EH191" s="409">
        <v>0</v>
      </c>
      <c r="EI191" s="409">
        <v>0</v>
      </c>
      <c r="EJ191" s="409">
        <v>0</v>
      </c>
      <c r="EK191" s="409">
        <v>0</v>
      </c>
      <c r="EL191" s="409">
        <v>0</v>
      </c>
      <c r="EM191" s="409">
        <v>0</v>
      </c>
      <c r="EN191" s="409">
        <v>0</v>
      </c>
      <c r="EO191" s="409">
        <v>0</v>
      </c>
      <c r="EP191" s="409">
        <v>0</v>
      </c>
      <c r="EQ191" s="409">
        <v>0</v>
      </c>
      <c r="ER191" s="409">
        <v>0</v>
      </c>
      <c r="ES191" s="409">
        <v>0</v>
      </c>
      <c r="ET191" s="409">
        <v>0</v>
      </c>
      <c r="EU191" s="409">
        <v>0</v>
      </c>
      <c r="EV191" s="409">
        <v>254</v>
      </c>
      <c r="EW191" s="409">
        <v>0</v>
      </c>
      <c r="EX191" s="409">
        <v>0</v>
      </c>
      <c r="EY191" s="409">
        <v>0</v>
      </c>
      <c r="EZ191" s="409"/>
      <c r="FA191" s="409">
        <v>0</v>
      </c>
      <c r="FB191" s="409"/>
      <c r="FC191" s="409"/>
      <c r="FD191" s="409"/>
      <c r="FE191" s="409"/>
      <c r="FF191" s="409">
        <v>0</v>
      </c>
      <c r="FG191" s="409">
        <v>0</v>
      </c>
      <c r="FH191" s="409">
        <v>0</v>
      </c>
      <c r="FI191" s="409">
        <v>0</v>
      </c>
    </row>
    <row r="192" spans="1:165">
      <c r="A192" s="409">
        <v>190</v>
      </c>
      <c r="B192" s="409" t="s">
        <v>1035</v>
      </c>
      <c r="C192" s="409" t="s">
        <v>2244</v>
      </c>
      <c r="D192" s="409" t="s">
        <v>2254</v>
      </c>
      <c r="E192" s="409" t="s">
        <v>973</v>
      </c>
      <c r="F192" s="409" t="s">
        <v>1323</v>
      </c>
      <c r="G192" s="409" t="s">
        <v>1323</v>
      </c>
      <c r="H192" s="409" t="s">
        <v>1323</v>
      </c>
      <c r="I192" s="409" t="s">
        <v>1323</v>
      </c>
      <c r="J192" s="409" t="s">
        <v>2245</v>
      </c>
      <c r="K192" s="835">
        <v>44501</v>
      </c>
      <c r="L192" s="409">
        <v>0</v>
      </c>
      <c r="M192" s="409">
        <v>0</v>
      </c>
      <c r="N192" s="409">
        <v>233.98599999999999</v>
      </c>
      <c r="O192" s="409">
        <v>233.98599999999999</v>
      </c>
      <c r="P192" s="409">
        <v>233.98599999999999</v>
      </c>
      <c r="Q192" s="409">
        <v>233.98599999999999</v>
      </c>
      <c r="R192" s="409"/>
      <c r="S192" s="409">
        <v>597.01</v>
      </c>
      <c r="T192" s="409">
        <v>243.39</v>
      </c>
      <c r="U192" s="409"/>
      <c r="V192" s="409">
        <v>196641.83439999999</v>
      </c>
      <c r="W192" s="409">
        <v>196641.83439999999</v>
      </c>
      <c r="X192" s="409">
        <v>178128.86207999999</v>
      </c>
      <c r="Y192" s="409">
        <v>0</v>
      </c>
      <c r="Z192" s="409">
        <v>5822.3853581717258</v>
      </c>
      <c r="AA192" s="409">
        <v>0</v>
      </c>
      <c r="AB192" s="409">
        <v>0</v>
      </c>
      <c r="AC192" s="409">
        <v>0</v>
      </c>
      <c r="AD192" s="409">
        <v>27420.600705773257</v>
      </c>
      <c r="AE192" s="409">
        <v>95943.274255160679</v>
      </c>
      <c r="AF192" s="409">
        <v>56949.207862067153</v>
      </c>
      <c r="AG192" s="409">
        <v>0</v>
      </c>
      <c r="AH192" s="409">
        <v>0</v>
      </c>
      <c r="AI192" s="409">
        <v>0</v>
      </c>
      <c r="AJ192" s="409">
        <v>0</v>
      </c>
      <c r="AK192" s="409">
        <v>0</v>
      </c>
      <c r="AL192" s="409">
        <v>2377.0850258750861</v>
      </c>
      <c r="AM192" s="409"/>
      <c r="AN192" s="409">
        <v>401.72387611690255</v>
      </c>
      <c r="AO192" s="409">
        <v>0</v>
      </c>
      <c r="AP192" s="409">
        <v>0</v>
      </c>
      <c r="AQ192" s="409">
        <v>0</v>
      </c>
      <c r="AR192" s="409">
        <v>0</v>
      </c>
      <c r="AS192" s="409">
        <v>0</v>
      </c>
      <c r="AT192" s="409">
        <v>0</v>
      </c>
      <c r="AU192" s="409">
        <v>0</v>
      </c>
      <c r="AV192" s="409">
        <v>0</v>
      </c>
      <c r="AW192" s="409">
        <v>0</v>
      </c>
      <c r="AX192" s="409">
        <v>0</v>
      </c>
      <c r="AY192" s="409">
        <v>0</v>
      </c>
      <c r="AZ192" s="409">
        <v>0</v>
      </c>
      <c r="BA192" s="409"/>
      <c r="BB192" s="409">
        <v>0</v>
      </c>
      <c r="BC192" s="409">
        <v>0</v>
      </c>
      <c r="BD192" s="409">
        <v>0</v>
      </c>
      <c r="BE192" s="409">
        <v>0</v>
      </c>
      <c r="BF192" s="409">
        <v>0</v>
      </c>
      <c r="BG192" s="409">
        <v>7726.0607945161782</v>
      </c>
      <c r="BH192" s="409">
        <v>0</v>
      </c>
      <c r="BI192" s="409">
        <v>128.11000000000001</v>
      </c>
      <c r="BJ192" s="409">
        <v>591.96</v>
      </c>
      <c r="BK192" s="409">
        <v>0</v>
      </c>
      <c r="BL192" s="409">
        <v>1752</v>
      </c>
      <c r="BM192" s="409"/>
      <c r="BN192" s="409"/>
      <c r="BO192" s="409"/>
      <c r="BP192" s="409"/>
      <c r="BQ192" s="409"/>
      <c r="BR192" s="409">
        <v>21376.960959999997</v>
      </c>
      <c r="BS192" s="409"/>
      <c r="BT192" s="409"/>
      <c r="BU192" s="409"/>
      <c r="BV192" s="409">
        <v>64675.268656583328</v>
      </c>
      <c r="BW192" s="409"/>
      <c r="BX192" s="409"/>
      <c r="BY192" s="409"/>
      <c r="BZ192" s="409"/>
      <c r="CA192" s="409"/>
      <c r="CB192" s="409"/>
      <c r="CC192" s="409"/>
      <c r="CD192" s="409"/>
      <c r="CE192" s="409"/>
      <c r="CF192" s="409"/>
      <c r="CG192" s="409"/>
      <c r="CH192" s="409"/>
      <c r="CI192" s="409">
        <v>156754.5808</v>
      </c>
      <c r="CJ192" s="409">
        <v>-16289.795500000007</v>
      </c>
      <c r="CK192" s="409"/>
      <c r="CL192" s="409"/>
      <c r="CM192" s="409"/>
      <c r="CN192" s="409"/>
      <c r="CO192" s="409">
        <v>-20492.493879999995</v>
      </c>
      <c r="CP192" s="409">
        <v>1979.5215600000017</v>
      </c>
      <c r="CQ192" s="409">
        <v>30</v>
      </c>
      <c r="CR192" s="409">
        <v>3480.2663510173443</v>
      </c>
      <c r="CS192" s="409">
        <v>0</v>
      </c>
      <c r="CT192" s="409">
        <v>0</v>
      </c>
      <c r="CU192" s="409">
        <v>0</v>
      </c>
      <c r="CV192" s="409">
        <v>0</v>
      </c>
      <c r="CW192" s="409">
        <v>0</v>
      </c>
      <c r="CX192" s="409">
        <v>0</v>
      </c>
      <c r="CY192" s="409">
        <v>0</v>
      </c>
      <c r="CZ192" s="409">
        <v>1028.015272922461</v>
      </c>
      <c r="DA192" s="409">
        <v>0</v>
      </c>
      <c r="DB192" s="409">
        <v>0</v>
      </c>
      <c r="DC192" s="409">
        <v>2608.8379017966945</v>
      </c>
      <c r="DD192" s="409">
        <v>0</v>
      </c>
      <c r="DE192" s="409">
        <v>0</v>
      </c>
      <c r="DF192" s="409">
        <v>0</v>
      </c>
      <c r="DG192" s="409">
        <v>353.93012456182169</v>
      </c>
      <c r="DH192" s="409">
        <v>0</v>
      </c>
      <c r="DI192" s="409">
        <v>-42.461961934300234</v>
      </c>
      <c r="DJ192" s="409"/>
      <c r="DK192" s="409">
        <v>0</v>
      </c>
      <c r="DL192" s="409">
        <v>0</v>
      </c>
      <c r="DM192" s="409">
        <v>0</v>
      </c>
      <c r="DN192" s="409">
        <v>0</v>
      </c>
      <c r="DO192" s="409">
        <v>-13.332956326182739</v>
      </c>
      <c r="DP192" s="409">
        <v>-23.662880398277593</v>
      </c>
      <c r="DQ192" s="409">
        <v>0</v>
      </c>
      <c r="DR192" s="409">
        <v>-431.05914960487269</v>
      </c>
      <c r="DS192" s="409"/>
      <c r="DT192" s="409"/>
      <c r="DU192" s="409"/>
      <c r="DV192" s="409">
        <v>95943.274255160679</v>
      </c>
      <c r="DW192" s="409">
        <v>0</v>
      </c>
      <c r="DX192" s="409">
        <v>0</v>
      </c>
      <c r="DY192" s="409">
        <v>-20492.493880000009</v>
      </c>
      <c r="DZ192" s="409">
        <v>1979.521560000001</v>
      </c>
      <c r="EA192" s="409">
        <v>0</v>
      </c>
      <c r="EB192" s="409">
        <v>0</v>
      </c>
      <c r="EC192" s="409">
        <v>-21992.454511685224</v>
      </c>
      <c r="ED192" s="409">
        <v>0</v>
      </c>
      <c r="EE192" s="409">
        <v>0</v>
      </c>
      <c r="EF192" s="409">
        <v>0</v>
      </c>
      <c r="EG192" s="409">
        <v>0</v>
      </c>
      <c r="EH192" s="409">
        <v>0</v>
      </c>
      <c r="EI192" s="409">
        <v>0</v>
      </c>
      <c r="EJ192" s="409">
        <v>0</v>
      </c>
      <c r="EK192" s="409">
        <v>0</v>
      </c>
      <c r="EL192" s="409">
        <v>0</v>
      </c>
      <c r="EM192" s="409">
        <v>0</v>
      </c>
      <c r="EN192" s="409">
        <v>0</v>
      </c>
      <c r="EO192" s="409">
        <v>0</v>
      </c>
      <c r="EP192" s="409">
        <v>0</v>
      </c>
      <c r="EQ192" s="409">
        <v>0</v>
      </c>
      <c r="ER192" s="409">
        <v>0</v>
      </c>
      <c r="ES192" s="409">
        <v>0</v>
      </c>
      <c r="ET192" s="409">
        <v>0</v>
      </c>
      <c r="EU192" s="409">
        <v>0</v>
      </c>
      <c r="EV192" s="409">
        <v>254</v>
      </c>
      <c r="EW192" s="409">
        <v>0</v>
      </c>
      <c r="EX192" s="409">
        <v>0</v>
      </c>
      <c r="EY192" s="409">
        <v>0</v>
      </c>
      <c r="EZ192" s="409"/>
      <c r="FA192" s="409">
        <v>0</v>
      </c>
      <c r="FB192" s="409"/>
      <c r="FC192" s="409"/>
      <c r="FD192" s="409"/>
      <c r="FE192" s="409"/>
      <c r="FF192" s="409">
        <v>0</v>
      </c>
      <c r="FG192" s="409">
        <v>0</v>
      </c>
      <c r="FH192" s="409">
        <v>0</v>
      </c>
      <c r="FI192" s="409">
        <v>0</v>
      </c>
    </row>
    <row r="193" spans="1:165">
      <c r="A193" s="409">
        <v>191</v>
      </c>
      <c r="B193" s="409" t="s">
        <v>2246</v>
      </c>
      <c r="C193" s="409" t="s">
        <v>2244</v>
      </c>
      <c r="D193" s="409" t="s">
        <v>2254</v>
      </c>
      <c r="E193" s="409" t="s">
        <v>973</v>
      </c>
      <c r="F193" s="409" t="s">
        <v>1323</v>
      </c>
      <c r="G193" s="409" t="s">
        <v>1323</v>
      </c>
      <c r="H193" s="409" t="s">
        <v>1323</v>
      </c>
      <c r="I193" s="409" t="s">
        <v>1323</v>
      </c>
      <c r="J193" s="409" t="s">
        <v>2245</v>
      </c>
      <c r="K193" s="835">
        <v>44501</v>
      </c>
      <c r="L193" s="409">
        <v>0</v>
      </c>
      <c r="M193" s="409">
        <v>0</v>
      </c>
      <c r="N193" s="409">
        <v>5.5339999999999998</v>
      </c>
      <c r="O193" s="409">
        <v>5.5339999999999998</v>
      </c>
      <c r="P193" s="409">
        <v>5.5339999999999998</v>
      </c>
      <c r="Q193" s="409">
        <v>5.5339999999999998</v>
      </c>
      <c r="R193" s="409"/>
      <c r="S193" s="409">
        <v>597.01</v>
      </c>
      <c r="T193" s="409">
        <v>243.39</v>
      </c>
      <c r="U193" s="409"/>
      <c r="V193" s="409">
        <v>4650.7735999999995</v>
      </c>
      <c r="W193" s="409">
        <v>4650.7735999999995</v>
      </c>
      <c r="X193" s="409">
        <v>4212.9235199999994</v>
      </c>
      <c r="Y193" s="409">
        <v>0</v>
      </c>
      <c r="Z193" s="409">
        <v>137.70516429240351</v>
      </c>
      <c r="AA193" s="409">
        <v>0</v>
      </c>
      <c r="AB193" s="409">
        <v>0</v>
      </c>
      <c r="AC193" s="409">
        <v>0</v>
      </c>
      <c r="AD193" s="409">
        <v>648.52428908460001</v>
      </c>
      <c r="AE193" s="409">
        <v>2269.1531960376228</v>
      </c>
      <c r="AF193" s="409">
        <v>1346.9050127301616</v>
      </c>
      <c r="AG193" s="409">
        <v>0</v>
      </c>
      <c r="AH193" s="409">
        <v>0</v>
      </c>
      <c r="AI193" s="409">
        <v>0</v>
      </c>
      <c r="AJ193" s="409">
        <v>0</v>
      </c>
      <c r="AK193" s="409">
        <v>0</v>
      </c>
      <c r="AL193" s="409">
        <v>56.220408627835539</v>
      </c>
      <c r="AM193" s="409"/>
      <c r="AN193" s="409">
        <v>9.5011664391499444</v>
      </c>
      <c r="AO193" s="409">
        <v>0</v>
      </c>
      <c r="AP193" s="409">
        <v>0</v>
      </c>
      <c r="AQ193" s="409">
        <v>0</v>
      </c>
      <c r="AR193" s="409">
        <v>0</v>
      </c>
      <c r="AS193" s="409">
        <v>0</v>
      </c>
      <c r="AT193" s="409">
        <v>0</v>
      </c>
      <c r="AU193" s="409">
        <v>0</v>
      </c>
      <c r="AV193" s="409">
        <v>0</v>
      </c>
      <c r="AW193" s="409">
        <v>0</v>
      </c>
      <c r="AX193" s="409">
        <v>0</v>
      </c>
      <c r="AY193" s="409">
        <v>0</v>
      </c>
      <c r="AZ193" s="409">
        <v>0</v>
      </c>
      <c r="BA193" s="409"/>
      <c r="BB193" s="409">
        <v>0</v>
      </c>
      <c r="BC193" s="409">
        <v>0</v>
      </c>
      <c r="BD193" s="409">
        <v>0</v>
      </c>
      <c r="BE193" s="409">
        <v>0</v>
      </c>
      <c r="BF193" s="409">
        <v>0</v>
      </c>
      <c r="BG193" s="409">
        <v>182.72896855731767</v>
      </c>
      <c r="BH193" s="409">
        <v>0</v>
      </c>
      <c r="BI193" s="409">
        <v>0</v>
      </c>
      <c r="BJ193" s="409">
        <v>0</v>
      </c>
      <c r="BK193" s="409">
        <v>0</v>
      </c>
      <c r="BL193" s="409">
        <v>7</v>
      </c>
      <c r="BM193" s="409"/>
      <c r="BN193" s="409"/>
      <c r="BO193" s="409"/>
      <c r="BP193" s="409"/>
      <c r="BQ193" s="409"/>
      <c r="BR193" s="409">
        <v>505.58623999999986</v>
      </c>
      <c r="BS193" s="409"/>
      <c r="BT193" s="409"/>
      <c r="BU193" s="409"/>
      <c r="BV193" s="409">
        <v>1529.6339812874794</v>
      </c>
      <c r="BW193" s="409"/>
      <c r="BX193" s="409"/>
      <c r="BY193" s="409"/>
      <c r="BZ193" s="409"/>
      <c r="CA193" s="409"/>
      <c r="CB193" s="409"/>
      <c r="CC193" s="409"/>
      <c r="CD193" s="409"/>
      <c r="CE193" s="409"/>
      <c r="CF193" s="409"/>
      <c r="CG193" s="409"/>
      <c r="CH193" s="409"/>
      <c r="CI193" s="409">
        <v>3704.6576000000005</v>
      </c>
      <c r="CJ193" s="409">
        <v>-388.04210000000012</v>
      </c>
      <c r="CK193" s="409"/>
      <c r="CL193" s="409"/>
      <c r="CM193" s="409"/>
      <c r="CN193" s="409"/>
      <c r="CO193" s="409">
        <v>-484.66771999999992</v>
      </c>
      <c r="CP193" s="409">
        <v>46.81764000000004</v>
      </c>
      <c r="CQ193" s="409">
        <v>30</v>
      </c>
      <c r="CR193" s="409">
        <v>82.311736542058043</v>
      </c>
      <c r="CS193" s="409">
        <v>0</v>
      </c>
      <c r="CT193" s="409">
        <v>0</v>
      </c>
      <c r="CU193" s="409">
        <v>0</v>
      </c>
      <c r="CV193" s="409">
        <v>0</v>
      </c>
      <c r="CW193" s="409">
        <v>0</v>
      </c>
      <c r="CX193" s="409">
        <v>0</v>
      </c>
      <c r="CY193" s="409">
        <v>0</v>
      </c>
      <c r="CZ193" s="409">
        <v>24.313576540275449</v>
      </c>
      <c r="DA193" s="409">
        <v>0</v>
      </c>
      <c r="DB193" s="409">
        <v>0</v>
      </c>
      <c r="DC193" s="409">
        <v>61.701593037801331</v>
      </c>
      <c r="DD193" s="409">
        <v>0</v>
      </c>
      <c r="DE193" s="409">
        <v>0</v>
      </c>
      <c r="DF193" s="409">
        <v>0</v>
      </c>
      <c r="DG193" s="409">
        <v>8.3707970106122502</v>
      </c>
      <c r="DH193" s="409">
        <v>0</v>
      </c>
      <c r="DI193" s="409">
        <v>-1.0042673379792575</v>
      </c>
      <c r="DJ193" s="409"/>
      <c r="DK193" s="409">
        <v>0</v>
      </c>
      <c r="DL193" s="409">
        <v>0</v>
      </c>
      <c r="DM193" s="409">
        <v>0</v>
      </c>
      <c r="DN193" s="409">
        <v>0</v>
      </c>
      <c r="DO193" s="409">
        <v>-0.31533758562091663</v>
      </c>
      <c r="DP193" s="409">
        <v>-0.55965049244001008</v>
      </c>
      <c r="DQ193" s="409">
        <v>0</v>
      </c>
      <c r="DR193" s="409">
        <v>-10.194974630590572</v>
      </c>
      <c r="DS193" s="409"/>
      <c r="DT193" s="409"/>
      <c r="DU193" s="409"/>
      <c r="DV193" s="409">
        <v>2269.1531960376228</v>
      </c>
      <c r="DW193" s="409">
        <v>0</v>
      </c>
      <c r="DX193" s="409">
        <v>0</v>
      </c>
      <c r="DY193" s="409">
        <v>-484.66771999999992</v>
      </c>
      <c r="DZ193" s="409">
        <v>46.817639999999983</v>
      </c>
      <c r="EA193" s="409">
        <v>0</v>
      </c>
      <c r="EB193" s="409">
        <v>0</v>
      </c>
      <c r="EC193" s="409">
        <v>-520.14327039936597</v>
      </c>
      <c r="ED193" s="409">
        <v>0</v>
      </c>
      <c r="EE193" s="409">
        <v>0</v>
      </c>
      <c r="EF193" s="409">
        <v>0</v>
      </c>
      <c r="EG193" s="409">
        <v>0</v>
      </c>
      <c r="EH193" s="409">
        <v>0</v>
      </c>
      <c r="EI193" s="409">
        <v>0</v>
      </c>
      <c r="EJ193" s="409">
        <v>0</v>
      </c>
      <c r="EK193" s="409">
        <v>0</v>
      </c>
      <c r="EL193" s="409">
        <v>0</v>
      </c>
      <c r="EM193" s="409">
        <v>0</v>
      </c>
      <c r="EN193" s="409">
        <v>0</v>
      </c>
      <c r="EO193" s="409">
        <v>0</v>
      </c>
      <c r="EP193" s="409">
        <v>0</v>
      </c>
      <c r="EQ193" s="409">
        <v>0</v>
      </c>
      <c r="ER193" s="409">
        <v>0</v>
      </c>
      <c r="ES193" s="409">
        <v>0</v>
      </c>
      <c r="ET193" s="409">
        <v>0</v>
      </c>
      <c r="EU193" s="409">
        <v>0</v>
      </c>
      <c r="EV193" s="409">
        <v>254</v>
      </c>
      <c r="EW193" s="409">
        <v>0</v>
      </c>
      <c r="EX193" s="409">
        <v>0</v>
      </c>
      <c r="EY193" s="409">
        <v>0</v>
      </c>
      <c r="EZ193" s="409"/>
      <c r="FA193" s="409">
        <v>0</v>
      </c>
      <c r="FB193" s="409"/>
      <c r="FC193" s="409"/>
      <c r="FD193" s="409"/>
      <c r="FE193" s="409"/>
      <c r="FF193" s="409">
        <v>0</v>
      </c>
      <c r="FG193" s="409">
        <v>0</v>
      </c>
      <c r="FH193" s="409">
        <v>0</v>
      </c>
      <c r="FI193" s="409">
        <v>0</v>
      </c>
    </row>
    <row r="194" spans="1:165">
      <c r="A194" s="409">
        <v>192</v>
      </c>
      <c r="B194" s="409" t="s">
        <v>1035</v>
      </c>
      <c r="C194" s="409" t="s">
        <v>2252</v>
      </c>
      <c r="D194" s="409" t="s">
        <v>2254</v>
      </c>
      <c r="E194" s="409" t="s">
        <v>973</v>
      </c>
      <c r="F194" s="409" t="s">
        <v>1323</v>
      </c>
      <c r="G194" s="409" t="s">
        <v>1323</v>
      </c>
      <c r="H194" s="409" t="s">
        <v>1323</v>
      </c>
      <c r="I194" s="409" t="s">
        <v>972</v>
      </c>
      <c r="J194" s="409" t="s">
        <v>2245</v>
      </c>
      <c r="K194" s="835">
        <v>44501</v>
      </c>
      <c r="L194" s="409">
        <v>0</v>
      </c>
      <c r="M194" s="409">
        <v>0</v>
      </c>
      <c r="N194" s="409">
        <v>0.01</v>
      </c>
      <c r="O194" s="409">
        <v>0.01</v>
      </c>
      <c r="P194" s="409">
        <v>0.01</v>
      </c>
      <c r="Q194" s="409">
        <v>0.01</v>
      </c>
      <c r="R194" s="409"/>
      <c r="S194" s="409">
        <v>1298.56</v>
      </c>
      <c r="T194" s="409">
        <v>214.18</v>
      </c>
      <c r="U194" s="409"/>
      <c r="V194" s="409">
        <v>15.1274</v>
      </c>
      <c r="W194" s="409">
        <v>15.1274</v>
      </c>
      <c r="X194" s="409">
        <v>13.128100000000002</v>
      </c>
      <c r="Y194" s="409">
        <v>0</v>
      </c>
      <c r="Z194" s="409">
        <v>0.218974601693739</v>
      </c>
      <c r="AA194" s="409">
        <v>0</v>
      </c>
      <c r="AB194" s="409">
        <v>0</v>
      </c>
      <c r="AC194" s="409">
        <v>0</v>
      </c>
      <c r="AD194" s="409">
        <v>2.7498820579632901</v>
      </c>
      <c r="AE194" s="409">
        <v>9.6216581565072907</v>
      </c>
      <c r="AF194" s="409">
        <v>2.1418077542510701</v>
      </c>
      <c r="AG194" s="409">
        <v>0</v>
      </c>
      <c r="AH194" s="409">
        <v>0</v>
      </c>
      <c r="AI194" s="409">
        <v>0</v>
      </c>
      <c r="AJ194" s="409">
        <v>0</v>
      </c>
      <c r="AK194" s="409">
        <v>0</v>
      </c>
      <c r="AL194" s="409">
        <v>8.9399999263634303E-2</v>
      </c>
      <c r="AM194" s="409"/>
      <c r="AN194" s="409">
        <v>1.51084684973834E-2</v>
      </c>
      <c r="AO194" s="409">
        <v>0</v>
      </c>
      <c r="AP194" s="409">
        <v>0</v>
      </c>
      <c r="AQ194" s="409">
        <v>0</v>
      </c>
      <c r="AR194" s="409">
        <v>0</v>
      </c>
      <c r="AS194" s="409">
        <v>0</v>
      </c>
      <c r="AT194" s="409">
        <v>0</v>
      </c>
      <c r="AU194" s="409">
        <v>0</v>
      </c>
      <c r="AV194" s="409">
        <v>0</v>
      </c>
      <c r="AW194" s="409">
        <v>0</v>
      </c>
      <c r="AX194" s="409">
        <v>0</v>
      </c>
      <c r="AY194" s="409">
        <v>0</v>
      </c>
      <c r="AZ194" s="409">
        <v>0</v>
      </c>
      <c r="BA194" s="409"/>
      <c r="BB194" s="409">
        <v>0</v>
      </c>
      <c r="BC194" s="409">
        <v>0</v>
      </c>
      <c r="BD194" s="409">
        <v>0</v>
      </c>
      <c r="BE194" s="409">
        <v>0</v>
      </c>
      <c r="BF194" s="409">
        <v>0</v>
      </c>
      <c r="BG194" s="409">
        <v>0.290570098175713</v>
      </c>
      <c r="BH194" s="409">
        <v>0</v>
      </c>
      <c r="BI194" s="409">
        <v>0</v>
      </c>
      <c r="BJ194" s="409">
        <v>0</v>
      </c>
      <c r="BK194" s="409">
        <v>0</v>
      </c>
      <c r="BL194" s="409">
        <v>0</v>
      </c>
      <c r="BM194" s="409"/>
      <c r="BN194" s="409"/>
      <c r="BO194" s="409"/>
      <c r="BP194" s="409"/>
      <c r="BQ194" s="409"/>
      <c r="BR194" s="409"/>
      <c r="BS194" s="409"/>
      <c r="BT194" s="409"/>
      <c r="BU194" s="409"/>
      <c r="BV194" s="409">
        <v>2.4323778524267832</v>
      </c>
      <c r="BW194" s="409"/>
      <c r="BX194" s="409"/>
      <c r="BY194" s="409"/>
      <c r="BZ194" s="409"/>
      <c r="CA194" s="409"/>
      <c r="CB194" s="409"/>
      <c r="CC194" s="409"/>
      <c r="CD194" s="409"/>
      <c r="CE194" s="409"/>
      <c r="CF194" s="409"/>
      <c r="CG194" s="409"/>
      <c r="CH194" s="409"/>
      <c r="CI194" s="409">
        <v>13.128100000000002</v>
      </c>
      <c r="CJ194" s="409">
        <v>-2.0292999999999974</v>
      </c>
      <c r="CK194" s="409"/>
      <c r="CL194" s="409"/>
      <c r="CM194" s="409"/>
      <c r="CN194" s="409"/>
      <c r="CO194" s="409">
        <v>-2.073799999999999</v>
      </c>
      <c r="CP194" s="409">
        <v>7.4499999999999886E-2</v>
      </c>
      <c r="CQ194" s="409">
        <v>30</v>
      </c>
      <c r="CR194" s="409">
        <v>0.20623724826620649</v>
      </c>
      <c r="CS194" s="409">
        <v>0</v>
      </c>
      <c r="CT194" s="409">
        <v>0</v>
      </c>
      <c r="CU194" s="409">
        <v>0</v>
      </c>
      <c r="CV194" s="409">
        <v>0</v>
      </c>
      <c r="CW194" s="409">
        <v>0</v>
      </c>
      <c r="CX194" s="409">
        <v>0</v>
      </c>
      <c r="CY194" s="409">
        <v>0</v>
      </c>
      <c r="CZ194" s="409">
        <v>0.1030947784351901</v>
      </c>
      <c r="DA194" s="409">
        <v>0</v>
      </c>
      <c r="DB194" s="409">
        <v>0</v>
      </c>
      <c r="DC194" s="409">
        <v>9.8116013504270239E-2</v>
      </c>
      <c r="DD194" s="409">
        <v>0</v>
      </c>
      <c r="DE194" s="409">
        <v>0</v>
      </c>
      <c r="DF194" s="409">
        <v>0</v>
      </c>
      <c r="DG194" s="409">
        <v>1.3310989102528037E-2</v>
      </c>
      <c r="DH194" s="409">
        <v>0</v>
      </c>
      <c r="DI194" s="409">
        <v>-1.5969556512860084E-3</v>
      </c>
      <c r="DJ194" s="409"/>
      <c r="DK194" s="409">
        <v>0</v>
      </c>
      <c r="DL194" s="409">
        <v>0</v>
      </c>
      <c r="DM194" s="409">
        <v>0</v>
      </c>
      <c r="DN194" s="409">
        <v>0</v>
      </c>
      <c r="DO194" s="409">
        <v>-5.0144032408050432E-4</v>
      </c>
      <c r="DP194" s="409">
        <v>-8.8993934468239999E-4</v>
      </c>
      <c r="DQ194" s="409">
        <v>0</v>
      </c>
      <c r="DR194" s="409">
        <v>-5.2961974557317985E-3</v>
      </c>
      <c r="DS194" s="409"/>
      <c r="DT194" s="409"/>
      <c r="DU194" s="409"/>
      <c r="DV194" s="409">
        <v>9.6216581565072907</v>
      </c>
      <c r="DW194" s="409">
        <v>0</v>
      </c>
      <c r="DX194" s="409">
        <v>0</v>
      </c>
      <c r="DY194" s="409">
        <v>-2.0737999999999985</v>
      </c>
      <c r="DZ194" s="409">
        <v>7.4500000000000011E-2</v>
      </c>
      <c r="EA194" s="409">
        <v>0</v>
      </c>
      <c r="EB194" s="409">
        <v>0</v>
      </c>
      <c r="EC194" s="409">
        <v>-2.2055102973785505</v>
      </c>
      <c r="ED194" s="409">
        <v>0</v>
      </c>
      <c r="EE194" s="409">
        <v>0</v>
      </c>
      <c r="EF194" s="409">
        <v>0</v>
      </c>
      <c r="EG194" s="409">
        <v>0</v>
      </c>
      <c r="EH194" s="409">
        <v>0</v>
      </c>
      <c r="EI194" s="409">
        <v>0</v>
      </c>
      <c r="EJ194" s="409">
        <v>0</v>
      </c>
      <c r="EK194" s="409">
        <v>0</v>
      </c>
      <c r="EL194" s="409">
        <v>0</v>
      </c>
      <c r="EM194" s="409">
        <v>0</v>
      </c>
      <c r="EN194" s="409">
        <v>0</v>
      </c>
      <c r="EO194" s="409">
        <v>0</v>
      </c>
      <c r="EP194" s="409">
        <v>0</v>
      </c>
      <c r="EQ194" s="409">
        <v>0</v>
      </c>
      <c r="ER194" s="409">
        <v>0</v>
      </c>
      <c r="ES194" s="409">
        <v>0</v>
      </c>
      <c r="ET194" s="409">
        <v>0</v>
      </c>
      <c r="EU194" s="409">
        <v>0</v>
      </c>
      <c r="EV194" s="409">
        <v>254</v>
      </c>
      <c r="EW194" s="409">
        <v>0</v>
      </c>
      <c r="EX194" s="409">
        <v>0</v>
      </c>
      <c r="EY194" s="409">
        <v>0</v>
      </c>
      <c r="EZ194" s="409"/>
      <c r="FA194" s="409">
        <v>0</v>
      </c>
      <c r="FB194" s="409"/>
      <c r="FC194" s="409"/>
      <c r="FD194" s="409"/>
      <c r="FE194" s="409"/>
      <c r="FF194" s="409">
        <v>0</v>
      </c>
      <c r="FG194" s="409">
        <v>0</v>
      </c>
      <c r="FH194" s="409">
        <v>0</v>
      </c>
      <c r="FI194" s="409">
        <v>0</v>
      </c>
    </row>
    <row r="195" spans="1:165">
      <c r="A195" s="409">
        <v>193</v>
      </c>
      <c r="B195" s="409" t="s">
        <v>1035</v>
      </c>
      <c r="C195" s="409" t="s">
        <v>2252</v>
      </c>
      <c r="D195" s="409" t="s">
        <v>2254</v>
      </c>
      <c r="E195" s="409" t="s">
        <v>973</v>
      </c>
      <c r="F195" s="409" t="s">
        <v>1323</v>
      </c>
      <c r="G195" s="409" t="s">
        <v>1323</v>
      </c>
      <c r="H195" s="409" t="s">
        <v>1323</v>
      </c>
      <c r="I195" s="409" t="s">
        <v>2237</v>
      </c>
      <c r="J195" s="409" t="s">
        <v>2245</v>
      </c>
      <c r="K195" s="835">
        <v>44501</v>
      </c>
      <c r="L195" s="409">
        <v>0</v>
      </c>
      <c r="M195" s="409">
        <v>0</v>
      </c>
      <c r="N195" s="409">
        <v>2.0289999999999999</v>
      </c>
      <c r="O195" s="409">
        <v>2.0289999999999999</v>
      </c>
      <c r="P195" s="409">
        <v>2.0289999999999999</v>
      </c>
      <c r="Q195" s="409">
        <v>2.0289999999999999</v>
      </c>
      <c r="R195" s="409"/>
      <c r="S195" s="409">
        <v>308.83999999999997</v>
      </c>
      <c r="T195" s="409">
        <v>214.18</v>
      </c>
      <c r="U195" s="409"/>
      <c r="V195" s="409">
        <v>1061.20758</v>
      </c>
      <c r="W195" s="409">
        <v>1061.20758</v>
      </c>
      <c r="X195" s="409">
        <v>993.98680999999988</v>
      </c>
      <c r="Y195" s="409">
        <v>0</v>
      </c>
      <c r="Z195" s="409">
        <v>44.429946683659644</v>
      </c>
      <c r="AA195" s="409">
        <v>0</v>
      </c>
      <c r="AB195" s="409">
        <v>0</v>
      </c>
      <c r="AC195" s="409">
        <v>0</v>
      </c>
      <c r="AD195" s="409">
        <v>111.593393699373</v>
      </c>
      <c r="AE195" s="409">
        <v>390.44708888793804</v>
      </c>
      <c r="AF195" s="409">
        <v>434.57279333754207</v>
      </c>
      <c r="AG195" s="409">
        <v>0</v>
      </c>
      <c r="AH195" s="409">
        <v>0</v>
      </c>
      <c r="AI195" s="409">
        <v>0</v>
      </c>
      <c r="AJ195" s="409">
        <v>0</v>
      </c>
      <c r="AK195" s="409">
        <v>0</v>
      </c>
      <c r="AL195" s="409">
        <v>18.139259850591401</v>
      </c>
      <c r="AM195" s="409"/>
      <c r="AN195" s="409">
        <v>3.0655082581190918</v>
      </c>
      <c r="AO195" s="409">
        <v>0</v>
      </c>
      <c r="AP195" s="409">
        <v>0</v>
      </c>
      <c r="AQ195" s="409">
        <v>0</v>
      </c>
      <c r="AR195" s="409">
        <v>0</v>
      </c>
      <c r="AS195" s="409">
        <v>0</v>
      </c>
      <c r="AT195" s="409">
        <v>0</v>
      </c>
      <c r="AU195" s="409">
        <v>0</v>
      </c>
      <c r="AV195" s="409">
        <v>0</v>
      </c>
      <c r="AW195" s="409">
        <v>0</v>
      </c>
      <c r="AX195" s="409">
        <v>0</v>
      </c>
      <c r="AY195" s="409">
        <v>0</v>
      </c>
      <c r="AZ195" s="409">
        <v>0</v>
      </c>
      <c r="BA195" s="409"/>
      <c r="BB195" s="409">
        <v>0</v>
      </c>
      <c r="BC195" s="409">
        <v>0</v>
      </c>
      <c r="BD195" s="409">
        <v>0</v>
      </c>
      <c r="BE195" s="409">
        <v>0</v>
      </c>
      <c r="BF195" s="409">
        <v>0</v>
      </c>
      <c r="BG195" s="409">
        <v>58.95667291985216</v>
      </c>
      <c r="BH195" s="409">
        <v>0</v>
      </c>
      <c r="BI195" s="409">
        <v>0</v>
      </c>
      <c r="BJ195" s="409">
        <v>0</v>
      </c>
      <c r="BK195" s="409">
        <v>0</v>
      </c>
      <c r="BL195" s="409">
        <v>0</v>
      </c>
      <c r="BM195" s="409"/>
      <c r="BN195" s="409"/>
      <c r="BO195" s="409"/>
      <c r="BP195" s="409"/>
      <c r="BQ195" s="409"/>
      <c r="BR195" s="409"/>
      <c r="BS195" s="409"/>
      <c r="BT195" s="409"/>
      <c r="BU195" s="409"/>
      <c r="BV195" s="409">
        <v>493.52946625739423</v>
      </c>
      <c r="BW195" s="409"/>
      <c r="BX195" s="409"/>
      <c r="BY195" s="409"/>
      <c r="BZ195" s="409"/>
      <c r="CA195" s="409"/>
      <c r="CB195" s="409"/>
      <c r="CC195" s="409"/>
      <c r="CD195" s="409"/>
      <c r="CE195" s="409"/>
      <c r="CF195" s="409"/>
      <c r="CG195" s="409"/>
      <c r="CH195" s="409"/>
      <c r="CI195" s="409">
        <v>994.47669999999994</v>
      </c>
      <c r="CJ195" s="409">
        <v>-66.760880000000043</v>
      </c>
      <c r="CK195" s="409"/>
      <c r="CL195" s="409"/>
      <c r="CM195" s="409"/>
      <c r="CN195" s="409"/>
      <c r="CO195" s="409">
        <v>-82.33681999999996</v>
      </c>
      <c r="CP195" s="409">
        <v>15.116049999999976</v>
      </c>
      <c r="CQ195" s="409">
        <v>30</v>
      </c>
      <c r="CR195" s="409">
        <v>22.276318574138486</v>
      </c>
      <c r="CS195" s="409">
        <v>0</v>
      </c>
      <c r="CT195" s="409">
        <v>0</v>
      </c>
      <c r="CU195" s="409">
        <v>0</v>
      </c>
      <c r="CV195" s="409">
        <v>0</v>
      </c>
      <c r="CW195" s="409">
        <v>0</v>
      </c>
      <c r="CX195" s="409">
        <v>0</v>
      </c>
      <c r="CY195" s="409">
        <v>0</v>
      </c>
      <c r="CZ195" s="409">
        <v>4.1837053210888229</v>
      </c>
      <c r="DA195" s="409">
        <v>0</v>
      </c>
      <c r="DB195" s="409">
        <v>0</v>
      </c>
      <c r="DC195" s="409">
        <v>19.907739140016417</v>
      </c>
      <c r="DD195" s="409">
        <v>0</v>
      </c>
      <c r="DE195" s="409">
        <v>0</v>
      </c>
      <c r="DF195" s="409">
        <v>0</v>
      </c>
      <c r="DG195" s="409">
        <v>2.70079968890294</v>
      </c>
      <c r="DH195" s="409">
        <v>0</v>
      </c>
      <c r="DI195" s="409">
        <v>-0.32402230164593249</v>
      </c>
      <c r="DJ195" s="409"/>
      <c r="DK195" s="409">
        <v>0</v>
      </c>
      <c r="DL195" s="409">
        <v>0</v>
      </c>
      <c r="DM195" s="409">
        <v>0</v>
      </c>
      <c r="DN195" s="409">
        <v>0</v>
      </c>
      <c r="DO195" s="409">
        <v>-0.10174224175593594</v>
      </c>
      <c r="DP195" s="409">
        <v>-0.18056869303605882</v>
      </c>
      <c r="DQ195" s="409">
        <v>0</v>
      </c>
      <c r="DR195" s="409">
        <v>-3.9095923394319474</v>
      </c>
      <c r="DS195" s="409"/>
      <c r="DT195" s="409"/>
      <c r="DU195" s="409"/>
      <c r="DV195" s="409">
        <v>390.44708888793804</v>
      </c>
      <c r="DW195" s="409">
        <v>0</v>
      </c>
      <c r="DX195" s="409">
        <v>0</v>
      </c>
      <c r="DY195" s="409">
        <v>-82.336819999999989</v>
      </c>
      <c r="DZ195" s="409">
        <v>15.116049999999973</v>
      </c>
      <c r="EA195" s="409">
        <v>0</v>
      </c>
      <c r="EB195" s="409">
        <v>0</v>
      </c>
      <c r="EC195" s="409">
        <v>-89.499653917909086</v>
      </c>
      <c r="ED195" s="409">
        <v>0</v>
      </c>
      <c r="EE195" s="409">
        <v>0</v>
      </c>
      <c r="EF195" s="409">
        <v>0</v>
      </c>
      <c r="EG195" s="409">
        <v>0</v>
      </c>
      <c r="EH195" s="409">
        <v>0</v>
      </c>
      <c r="EI195" s="409">
        <v>0</v>
      </c>
      <c r="EJ195" s="409">
        <v>0</v>
      </c>
      <c r="EK195" s="409">
        <v>0</v>
      </c>
      <c r="EL195" s="409">
        <v>0</v>
      </c>
      <c r="EM195" s="409">
        <v>0</v>
      </c>
      <c r="EN195" s="409">
        <v>0</v>
      </c>
      <c r="EO195" s="409">
        <v>0</v>
      </c>
      <c r="EP195" s="409">
        <v>0</v>
      </c>
      <c r="EQ195" s="409">
        <v>0</v>
      </c>
      <c r="ER195" s="409">
        <v>0</v>
      </c>
      <c r="ES195" s="409">
        <v>0</v>
      </c>
      <c r="ET195" s="409">
        <v>0</v>
      </c>
      <c r="EU195" s="409">
        <v>0</v>
      </c>
      <c r="EV195" s="409">
        <v>254</v>
      </c>
      <c r="EW195" s="409">
        <v>0</v>
      </c>
      <c r="EX195" s="409">
        <v>0</v>
      </c>
      <c r="EY195" s="409">
        <v>0</v>
      </c>
      <c r="EZ195" s="409"/>
      <c r="FA195" s="409">
        <v>0</v>
      </c>
      <c r="FB195" s="409"/>
      <c r="FC195" s="409"/>
      <c r="FD195" s="409"/>
      <c r="FE195" s="409"/>
      <c r="FF195" s="409">
        <v>0</v>
      </c>
      <c r="FG195" s="409">
        <v>0</v>
      </c>
      <c r="FH195" s="409">
        <v>0</v>
      </c>
      <c r="FI195" s="409">
        <v>0</v>
      </c>
    </row>
    <row r="196" spans="1:165">
      <c r="A196" s="409">
        <v>194</v>
      </c>
      <c r="B196" s="409" t="s">
        <v>1035</v>
      </c>
      <c r="C196" s="409" t="s">
        <v>2252</v>
      </c>
      <c r="D196" s="409" t="s">
        <v>2254</v>
      </c>
      <c r="E196" s="409" t="s">
        <v>973</v>
      </c>
      <c r="F196" s="409" t="s">
        <v>1323</v>
      </c>
      <c r="G196" s="409" t="s">
        <v>1323</v>
      </c>
      <c r="H196" s="409" t="s">
        <v>1323</v>
      </c>
      <c r="I196" s="409" t="s">
        <v>1323</v>
      </c>
      <c r="J196" s="409" t="s">
        <v>2245</v>
      </c>
      <c r="K196" s="835">
        <v>44501</v>
      </c>
      <c r="L196" s="409">
        <v>0</v>
      </c>
      <c r="M196" s="409">
        <v>0</v>
      </c>
      <c r="N196" s="409">
        <v>0.128</v>
      </c>
      <c r="O196" s="409">
        <v>0.128</v>
      </c>
      <c r="P196" s="409">
        <v>0.128</v>
      </c>
      <c r="Q196" s="409">
        <v>0.128</v>
      </c>
      <c r="R196" s="409"/>
      <c r="S196" s="409">
        <v>597.01</v>
      </c>
      <c r="T196" s="409">
        <v>243.39</v>
      </c>
      <c r="U196" s="409"/>
      <c r="V196" s="409">
        <v>107.5712</v>
      </c>
      <c r="W196" s="409">
        <v>107.5712</v>
      </c>
      <c r="X196" s="409">
        <v>97.443840000000009</v>
      </c>
      <c r="Y196" s="409">
        <v>0</v>
      </c>
      <c r="Z196" s="409">
        <v>3.1850851155452928</v>
      </c>
      <c r="AA196" s="409">
        <v>0</v>
      </c>
      <c r="AB196" s="409">
        <v>0</v>
      </c>
      <c r="AC196" s="409">
        <v>0</v>
      </c>
      <c r="AD196" s="409">
        <v>15.000200398053632</v>
      </c>
      <c r="AE196" s="409">
        <v>52.484931169645051</v>
      </c>
      <c r="AF196" s="409">
        <v>31.153567334561025</v>
      </c>
      <c r="AG196" s="409">
        <v>0</v>
      </c>
      <c r="AH196" s="409">
        <v>0</v>
      </c>
      <c r="AI196" s="409">
        <v>0</v>
      </c>
      <c r="AJ196" s="409">
        <v>0</v>
      </c>
      <c r="AK196" s="409">
        <v>0</v>
      </c>
      <c r="AL196" s="409">
        <v>1.3003636256528639</v>
      </c>
      <c r="AM196" s="409"/>
      <c r="AN196" s="409">
        <v>0.21975954178012161</v>
      </c>
      <c r="AO196" s="409">
        <v>0</v>
      </c>
      <c r="AP196" s="409">
        <v>0</v>
      </c>
      <c r="AQ196" s="409">
        <v>0</v>
      </c>
      <c r="AR196" s="409">
        <v>0</v>
      </c>
      <c r="AS196" s="409">
        <v>0</v>
      </c>
      <c r="AT196" s="409">
        <v>0</v>
      </c>
      <c r="AU196" s="409">
        <v>0</v>
      </c>
      <c r="AV196" s="409">
        <v>0</v>
      </c>
      <c r="AW196" s="409">
        <v>0</v>
      </c>
      <c r="AX196" s="409">
        <v>0</v>
      </c>
      <c r="AY196" s="409">
        <v>0</v>
      </c>
      <c r="AZ196" s="409">
        <v>0</v>
      </c>
      <c r="BA196" s="409"/>
      <c r="BB196" s="409">
        <v>0</v>
      </c>
      <c r="BC196" s="409">
        <v>0</v>
      </c>
      <c r="BD196" s="409">
        <v>0</v>
      </c>
      <c r="BE196" s="409">
        <v>0</v>
      </c>
      <c r="BF196" s="409">
        <v>0</v>
      </c>
      <c r="BG196" s="409">
        <v>4.2264741552830971</v>
      </c>
      <c r="BH196" s="409">
        <v>0</v>
      </c>
      <c r="BI196" s="409">
        <v>1.79</v>
      </c>
      <c r="BJ196" s="409">
        <v>8.27</v>
      </c>
      <c r="BK196" s="409">
        <v>0</v>
      </c>
      <c r="BL196" s="409">
        <v>6</v>
      </c>
      <c r="BM196" s="409"/>
      <c r="BN196" s="409"/>
      <c r="BO196" s="409"/>
      <c r="BP196" s="409"/>
      <c r="BQ196" s="409"/>
      <c r="BR196" s="409">
        <v>11.694079999999998</v>
      </c>
      <c r="BS196" s="409"/>
      <c r="BT196" s="409"/>
      <c r="BU196" s="409"/>
      <c r="BV196" s="409">
        <v>35.380041489844125</v>
      </c>
      <c r="BW196" s="409"/>
      <c r="BX196" s="409"/>
      <c r="BY196" s="409"/>
      <c r="BZ196" s="409"/>
      <c r="CA196" s="409"/>
      <c r="CB196" s="409"/>
      <c r="CC196" s="409"/>
      <c r="CD196" s="409"/>
      <c r="CE196" s="409"/>
      <c r="CF196" s="409"/>
      <c r="CG196" s="409"/>
      <c r="CH196" s="409"/>
      <c r="CI196" s="409">
        <v>87.089600000000004</v>
      </c>
      <c r="CJ196" s="409">
        <v>-7.6028000000000162</v>
      </c>
      <c r="CK196" s="409"/>
      <c r="CL196" s="409"/>
      <c r="CM196" s="409"/>
      <c r="CN196" s="409"/>
      <c r="CO196" s="409">
        <v>-11.210239999999999</v>
      </c>
      <c r="CP196" s="409">
        <v>1.082880000000001</v>
      </c>
      <c r="CQ196" s="409">
        <v>30</v>
      </c>
      <c r="CR196" s="409">
        <v>1.9038493453891334</v>
      </c>
      <c r="CS196" s="409">
        <v>0</v>
      </c>
      <c r="CT196" s="409">
        <v>0</v>
      </c>
      <c r="CU196" s="409">
        <v>0</v>
      </c>
      <c r="CV196" s="409">
        <v>0</v>
      </c>
      <c r="CW196" s="409">
        <v>0</v>
      </c>
      <c r="CX196" s="409">
        <v>0</v>
      </c>
      <c r="CY196" s="409">
        <v>0</v>
      </c>
      <c r="CZ196" s="409">
        <v>0.56236678662003214</v>
      </c>
      <c r="DA196" s="409">
        <v>0</v>
      </c>
      <c r="DB196" s="409">
        <v>0</v>
      </c>
      <c r="DC196" s="409">
        <v>1.4271420146076181</v>
      </c>
      <c r="DD196" s="409">
        <v>0</v>
      </c>
      <c r="DE196" s="409">
        <v>0</v>
      </c>
      <c r="DF196" s="409">
        <v>0</v>
      </c>
      <c r="DG196" s="409">
        <v>0.19361438694585686</v>
      </c>
      <c r="DH196" s="409">
        <v>0</v>
      </c>
      <c r="DI196" s="409">
        <v>-2.3228445836889211E-2</v>
      </c>
      <c r="DJ196" s="409"/>
      <c r="DK196" s="409">
        <v>0</v>
      </c>
      <c r="DL196" s="409">
        <v>0</v>
      </c>
      <c r="DM196" s="409">
        <v>0</v>
      </c>
      <c r="DN196" s="409">
        <v>0</v>
      </c>
      <c r="DO196" s="409">
        <v>-7.2936774411775929E-3</v>
      </c>
      <c r="DP196" s="409">
        <v>-1.2944572286288647E-2</v>
      </c>
      <c r="DQ196" s="409">
        <v>0</v>
      </c>
      <c r="DR196" s="409">
        <v>-0.23580714722002044</v>
      </c>
      <c r="DS196" s="409"/>
      <c r="DT196" s="409"/>
      <c r="DU196" s="409"/>
      <c r="DV196" s="409">
        <v>52.484931169645051</v>
      </c>
      <c r="DW196" s="409">
        <v>0</v>
      </c>
      <c r="DX196" s="409">
        <v>0</v>
      </c>
      <c r="DY196" s="409">
        <v>-11.210239999999999</v>
      </c>
      <c r="DZ196" s="409">
        <v>1.082880000000003</v>
      </c>
      <c r="EA196" s="409">
        <v>0</v>
      </c>
      <c r="EB196" s="409">
        <v>0</v>
      </c>
      <c r="EC196" s="409">
        <v>-12.030780377867515</v>
      </c>
      <c r="ED196" s="409">
        <v>0</v>
      </c>
      <c r="EE196" s="409">
        <v>0</v>
      </c>
      <c r="EF196" s="409">
        <v>0</v>
      </c>
      <c r="EG196" s="409">
        <v>0</v>
      </c>
      <c r="EH196" s="409">
        <v>0</v>
      </c>
      <c r="EI196" s="409">
        <v>0</v>
      </c>
      <c r="EJ196" s="409">
        <v>0</v>
      </c>
      <c r="EK196" s="409">
        <v>0</v>
      </c>
      <c r="EL196" s="409">
        <v>0</v>
      </c>
      <c r="EM196" s="409">
        <v>0</v>
      </c>
      <c r="EN196" s="409">
        <v>0</v>
      </c>
      <c r="EO196" s="409">
        <v>0</v>
      </c>
      <c r="EP196" s="409">
        <v>0</v>
      </c>
      <c r="EQ196" s="409">
        <v>0</v>
      </c>
      <c r="ER196" s="409">
        <v>0</v>
      </c>
      <c r="ES196" s="409">
        <v>0</v>
      </c>
      <c r="ET196" s="409">
        <v>0</v>
      </c>
      <c r="EU196" s="409">
        <v>0</v>
      </c>
      <c r="EV196" s="409">
        <v>254</v>
      </c>
      <c r="EW196" s="409">
        <v>0</v>
      </c>
      <c r="EX196" s="409">
        <v>0</v>
      </c>
      <c r="EY196" s="409">
        <v>0</v>
      </c>
      <c r="EZ196" s="409"/>
      <c r="FA196" s="409">
        <v>0</v>
      </c>
      <c r="FB196" s="409"/>
      <c r="FC196" s="409"/>
      <c r="FD196" s="409"/>
      <c r="FE196" s="409"/>
      <c r="FF196" s="409">
        <v>0</v>
      </c>
      <c r="FG196" s="409">
        <v>0</v>
      </c>
      <c r="FH196" s="409">
        <v>0</v>
      </c>
      <c r="FI196" s="409">
        <v>0</v>
      </c>
    </row>
    <row r="197" spans="1:165">
      <c r="A197" s="409">
        <v>195</v>
      </c>
      <c r="B197" s="409" t="s">
        <v>1035</v>
      </c>
      <c r="C197" s="409" t="s">
        <v>2252</v>
      </c>
      <c r="D197" s="409" t="s">
        <v>2254</v>
      </c>
      <c r="E197" s="409" t="s">
        <v>973</v>
      </c>
      <c r="F197" s="409" t="s">
        <v>1323</v>
      </c>
      <c r="G197" s="409" t="s">
        <v>1323</v>
      </c>
      <c r="H197" s="409" t="s">
        <v>1323</v>
      </c>
      <c r="I197" s="409" t="s">
        <v>2253</v>
      </c>
      <c r="J197" s="409" t="s">
        <v>2245</v>
      </c>
      <c r="K197" s="835">
        <v>44501</v>
      </c>
      <c r="L197" s="409">
        <v>0</v>
      </c>
      <c r="M197" s="409">
        <v>0</v>
      </c>
      <c r="N197" s="409">
        <v>5.1999999999999998E-2</v>
      </c>
      <c r="O197" s="409">
        <v>5.1999999999999998E-2</v>
      </c>
      <c r="P197" s="409">
        <v>5.1999999999999998E-2</v>
      </c>
      <c r="Q197" s="409">
        <v>5.1999999999999998E-2</v>
      </c>
      <c r="R197" s="409"/>
      <c r="S197" s="409">
        <v>803.7</v>
      </c>
      <c r="T197" s="409">
        <v>214.18</v>
      </c>
      <c r="U197" s="409"/>
      <c r="V197" s="409">
        <v>52.929760000000002</v>
      </c>
      <c r="W197" s="409">
        <v>52.929760000000002</v>
      </c>
      <c r="X197" s="409">
        <v>46.870199999999997</v>
      </c>
      <c r="Y197" s="409">
        <v>0</v>
      </c>
      <c r="Z197" s="409">
        <v>1.1386679288074428</v>
      </c>
      <c r="AA197" s="409">
        <v>0</v>
      </c>
      <c r="AB197" s="409">
        <v>0</v>
      </c>
      <c r="AC197" s="409">
        <v>0</v>
      </c>
      <c r="AD197" s="409">
        <v>8.5796701213855826</v>
      </c>
      <c r="AE197" s="409">
        <v>30.019563150976619</v>
      </c>
      <c r="AF197" s="409">
        <v>11.137400322105563</v>
      </c>
      <c r="AG197" s="409">
        <v>0</v>
      </c>
      <c r="AH197" s="409">
        <v>0</v>
      </c>
      <c r="AI197" s="409">
        <v>0</v>
      </c>
      <c r="AJ197" s="409">
        <v>0</v>
      </c>
      <c r="AK197" s="409">
        <v>0</v>
      </c>
      <c r="AL197" s="409">
        <v>0.46487999617089837</v>
      </c>
      <c r="AM197" s="409"/>
      <c r="AN197" s="409">
        <v>7.8564036186393682E-2</v>
      </c>
      <c r="AO197" s="409">
        <v>0</v>
      </c>
      <c r="AP197" s="409">
        <v>0</v>
      </c>
      <c r="AQ197" s="409">
        <v>0</v>
      </c>
      <c r="AR197" s="409">
        <v>0</v>
      </c>
      <c r="AS197" s="409">
        <v>0</v>
      </c>
      <c r="AT197" s="409">
        <v>0</v>
      </c>
      <c r="AU197" s="409">
        <v>0</v>
      </c>
      <c r="AV197" s="409">
        <v>0</v>
      </c>
      <c r="AW197" s="409">
        <v>0</v>
      </c>
      <c r="AX197" s="409">
        <v>0</v>
      </c>
      <c r="AY197" s="409">
        <v>0</v>
      </c>
      <c r="AZ197" s="409">
        <v>0</v>
      </c>
      <c r="BA197" s="409"/>
      <c r="BB197" s="409">
        <v>0</v>
      </c>
      <c r="BC197" s="409">
        <v>0</v>
      </c>
      <c r="BD197" s="409">
        <v>0</v>
      </c>
      <c r="BE197" s="409">
        <v>0</v>
      </c>
      <c r="BF197" s="409">
        <v>0</v>
      </c>
      <c r="BG197" s="409">
        <v>1.5109645105137075</v>
      </c>
      <c r="BH197" s="409">
        <v>0</v>
      </c>
      <c r="BI197" s="409">
        <v>0</v>
      </c>
      <c r="BJ197" s="409">
        <v>0</v>
      </c>
      <c r="BK197" s="409">
        <v>0</v>
      </c>
      <c r="BL197" s="409">
        <v>0</v>
      </c>
      <c r="BM197" s="409"/>
      <c r="BN197" s="409"/>
      <c r="BO197" s="409"/>
      <c r="BP197" s="409"/>
      <c r="BQ197" s="409"/>
      <c r="BR197" s="409"/>
      <c r="BS197" s="409"/>
      <c r="BT197" s="409"/>
      <c r="BU197" s="409"/>
      <c r="BV197" s="409">
        <v>12.64836483261927</v>
      </c>
      <c r="BW197" s="409"/>
      <c r="BX197" s="409"/>
      <c r="BY197" s="409"/>
      <c r="BZ197" s="409"/>
      <c r="CA197" s="409"/>
      <c r="CB197" s="409"/>
      <c r="CC197" s="409"/>
      <c r="CD197" s="409"/>
      <c r="CE197" s="409"/>
      <c r="CF197" s="409"/>
      <c r="CG197" s="409"/>
      <c r="CH197" s="409"/>
      <c r="CI197" s="409">
        <v>45.067500000000003</v>
      </c>
      <c r="CJ197" s="409">
        <v>-7.8922599999999932</v>
      </c>
      <c r="CK197" s="409"/>
      <c r="CL197" s="409"/>
      <c r="CM197" s="409"/>
      <c r="CN197" s="409"/>
      <c r="CO197" s="409">
        <v>-6.4469600000000007</v>
      </c>
      <c r="CP197" s="409">
        <v>0.38739999999999941</v>
      </c>
      <c r="CQ197" s="409">
        <v>30</v>
      </c>
      <c r="CR197" s="409">
        <v>0.82166979631089632</v>
      </c>
      <c r="CS197" s="409">
        <v>0</v>
      </c>
      <c r="CT197" s="409">
        <v>0</v>
      </c>
      <c r="CU197" s="409">
        <v>0</v>
      </c>
      <c r="CV197" s="409">
        <v>0</v>
      </c>
      <c r="CW197" s="409">
        <v>0</v>
      </c>
      <c r="CX197" s="409">
        <v>0</v>
      </c>
      <c r="CY197" s="409">
        <v>0</v>
      </c>
      <c r="CZ197" s="409">
        <v>0.3216571371305772</v>
      </c>
      <c r="DA197" s="409">
        <v>0</v>
      </c>
      <c r="DB197" s="409">
        <v>0</v>
      </c>
      <c r="DC197" s="409">
        <v>0.51020327022220435</v>
      </c>
      <c r="DD197" s="409">
        <v>0</v>
      </c>
      <c r="DE197" s="409">
        <v>0</v>
      </c>
      <c r="DF197" s="409">
        <v>0</v>
      </c>
      <c r="DG197" s="409">
        <v>6.9217143333145659E-2</v>
      </c>
      <c r="DH197" s="409">
        <v>0</v>
      </c>
      <c r="DI197" s="409">
        <v>-8.3041693866872102E-3</v>
      </c>
      <c r="DJ197" s="409"/>
      <c r="DK197" s="409">
        <v>0</v>
      </c>
      <c r="DL197" s="409">
        <v>0</v>
      </c>
      <c r="DM197" s="409">
        <v>0</v>
      </c>
      <c r="DN197" s="409">
        <v>0</v>
      </c>
      <c r="DO197" s="409">
        <v>-2.6074896852186225E-3</v>
      </c>
      <c r="DP197" s="409">
        <v>-4.6276845923484827E-3</v>
      </c>
      <c r="DQ197" s="409">
        <v>0</v>
      </c>
      <c r="DR197" s="409">
        <v>-6.3868410710775314E-2</v>
      </c>
      <c r="DS197" s="409"/>
      <c r="DT197" s="409"/>
      <c r="DU197" s="409"/>
      <c r="DV197" s="409">
        <v>30.019563150976619</v>
      </c>
      <c r="DW197" s="409">
        <v>0</v>
      </c>
      <c r="DX197" s="409">
        <v>0</v>
      </c>
      <c r="DY197" s="409">
        <v>-6.4469600000000042</v>
      </c>
      <c r="DZ197" s="409">
        <v>0.38739999999999952</v>
      </c>
      <c r="EA197" s="409">
        <v>0</v>
      </c>
      <c r="EB197" s="409">
        <v>0</v>
      </c>
      <c r="EC197" s="409">
        <v>-6.8811897674318239</v>
      </c>
      <c r="ED197" s="409">
        <v>0</v>
      </c>
      <c r="EE197" s="409">
        <v>0</v>
      </c>
      <c r="EF197" s="409">
        <v>0</v>
      </c>
      <c r="EG197" s="409">
        <v>0</v>
      </c>
      <c r="EH197" s="409">
        <v>0</v>
      </c>
      <c r="EI197" s="409">
        <v>0</v>
      </c>
      <c r="EJ197" s="409">
        <v>0</v>
      </c>
      <c r="EK197" s="409">
        <v>0</v>
      </c>
      <c r="EL197" s="409">
        <v>0</v>
      </c>
      <c r="EM197" s="409">
        <v>0</v>
      </c>
      <c r="EN197" s="409">
        <v>0</v>
      </c>
      <c r="EO197" s="409">
        <v>0</v>
      </c>
      <c r="EP197" s="409">
        <v>0</v>
      </c>
      <c r="EQ197" s="409">
        <v>0</v>
      </c>
      <c r="ER197" s="409">
        <v>0</v>
      </c>
      <c r="ES197" s="409">
        <v>0</v>
      </c>
      <c r="ET197" s="409">
        <v>0</v>
      </c>
      <c r="EU197" s="409">
        <v>0</v>
      </c>
      <c r="EV197" s="409">
        <v>254</v>
      </c>
      <c r="EW197" s="409">
        <v>0</v>
      </c>
      <c r="EX197" s="409">
        <v>0</v>
      </c>
      <c r="EY197" s="409">
        <v>0</v>
      </c>
      <c r="EZ197" s="409"/>
      <c r="FA197" s="409">
        <v>0</v>
      </c>
      <c r="FB197" s="409"/>
      <c r="FC197" s="409"/>
      <c r="FD197" s="409"/>
      <c r="FE197" s="409"/>
      <c r="FF197" s="409">
        <v>0</v>
      </c>
      <c r="FG197" s="409">
        <v>0</v>
      </c>
      <c r="FH197" s="409">
        <v>0</v>
      </c>
      <c r="FI197" s="409">
        <v>0</v>
      </c>
    </row>
    <row r="198" spans="1:165">
      <c r="A198" s="409">
        <v>196</v>
      </c>
      <c r="B198" s="409" t="s">
        <v>1035</v>
      </c>
      <c r="C198" s="409" t="s">
        <v>2244</v>
      </c>
      <c r="D198" s="409" t="s">
        <v>1994</v>
      </c>
      <c r="E198" s="409" t="s">
        <v>2255</v>
      </c>
      <c r="F198" s="409" t="s">
        <v>1323</v>
      </c>
      <c r="G198" s="409" t="s">
        <v>1323</v>
      </c>
      <c r="H198" s="409" t="s">
        <v>1323</v>
      </c>
      <c r="I198" s="409" t="s">
        <v>1323</v>
      </c>
      <c r="J198" s="409" t="s">
        <v>2245</v>
      </c>
      <c r="K198" s="835">
        <v>44501</v>
      </c>
      <c r="L198" s="409">
        <v>0</v>
      </c>
      <c r="M198" s="409">
        <v>0</v>
      </c>
      <c r="N198" s="409">
        <v>18.533999999999999</v>
      </c>
      <c r="O198" s="409">
        <v>18.533999999999999</v>
      </c>
      <c r="P198" s="409">
        <v>18.533999999999999</v>
      </c>
      <c r="Q198" s="409">
        <v>18.533999999999999</v>
      </c>
      <c r="R198" s="409"/>
      <c r="S198" s="409">
        <v>597.01</v>
      </c>
      <c r="T198" s="409">
        <v>243.39</v>
      </c>
      <c r="U198" s="409"/>
      <c r="V198" s="409">
        <v>15575.973599999998</v>
      </c>
      <c r="W198" s="409">
        <v>15575.973599999998</v>
      </c>
      <c r="X198" s="409">
        <v>14109.56352</v>
      </c>
      <c r="Y198" s="409">
        <v>0</v>
      </c>
      <c r="Z198" s="409">
        <v>461.19037133997227</v>
      </c>
      <c r="AA198" s="409">
        <v>0</v>
      </c>
      <c r="AB198" s="409">
        <v>0</v>
      </c>
      <c r="AC198" s="409">
        <v>0</v>
      </c>
      <c r="AD198" s="409">
        <v>2171.982142011922</v>
      </c>
      <c r="AE198" s="409">
        <v>7599.6540179546982</v>
      </c>
      <c r="AF198" s="409">
        <v>4510.939195146515</v>
      </c>
      <c r="AG198" s="409">
        <v>0</v>
      </c>
      <c r="AH198" s="409">
        <v>0</v>
      </c>
      <c r="AI198" s="409">
        <v>0</v>
      </c>
      <c r="AJ198" s="409">
        <v>0</v>
      </c>
      <c r="AK198" s="409">
        <v>0</v>
      </c>
      <c r="AL198" s="409">
        <v>188.28858935820452</v>
      </c>
      <c r="AM198" s="409"/>
      <c r="AN198" s="409">
        <v>31.820494901193541</v>
      </c>
      <c r="AO198" s="409">
        <v>0</v>
      </c>
      <c r="AP198" s="409">
        <v>0</v>
      </c>
      <c r="AQ198" s="409">
        <v>0</v>
      </c>
      <c r="AR198" s="409">
        <v>0</v>
      </c>
      <c r="AS198" s="409">
        <v>0</v>
      </c>
      <c r="AT198" s="409">
        <v>0</v>
      </c>
      <c r="AU198" s="409">
        <v>0</v>
      </c>
      <c r="AV198" s="409">
        <v>0</v>
      </c>
      <c r="AW198" s="409">
        <v>0</v>
      </c>
      <c r="AX198" s="409">
        <v>0</v>
      </c>
      <c r="AY198" s="409">
        <v>0</v>
      </c>
      <c r="AZ198" s="409">
        <v>0</v>
      </c>
      <c r="BA198" s="409"/>
      <c r="BB198" s="409">
        <v>0</v>
      </c>
      <c r="BC198" s="409">
        <v>0</v>
      </c>
      <c r="BD198" s="409">
        <v>0</v>
      </c>
      <c r="BE198" s="409">
        <v>0</v>
      </c>
      <c r="BF198" s="409">
        <v>0</v>
      </c>
      <c r="BG198" s="409">
        <v>611.98024995325716</v>
      </c>
      <c r="BH198" s="409">
        <v>0</v>
      </c>
      <c r="BI198" s="409">
        <v>27.47</v>
      </c>
      <c r="BJ198" s="409">
        <v>126.78</v>
      </c>
      <c r="BK198" s="409">
        <v>1645.85</v>
      </c>
      <c r="BL198" s="409">
        <v>30</v>
      </c>
      <c r="BM198" s="409"/>
      <c r="BN198" s="409"/>
      <c r="BO198" s="409"/>
      <c r="BP198" s="409"/>
      <c r="BQ198" s="409"/>
      <c r="BR198" s="409"/>
      <c r="BS198" s="409"/>
      <c r="BT198" s="409"/>
      <c r="BU198" s="409"/>
      <c r="BV198" s="409">
        <v>5122.919445099772</v>
      </c>
      <c r="BW198" s="409"/>
      <c r="BX198" s="409"/>
      <c r="BY198" s="409"/>
      <c r="BZ198" s="409"/>
      <c r="CA198" s="409"/>
      <c r="CB198" s="409"/>
      <c r="CC198" s="409"/>
      <c r="CD198" s="409"/>
      <c r="CE198" s="409"/>
      <c r="CF198" s="409"/>
      <c r="CG198" s="409"/>
      <c r="CH198" s="409"/>
      <c r="CI198" s="409">
        <v>14106.518400000001</v>
      </c>
      <c r="CJ198" s="409">
        <v>-1469.4851999999973</v>
      </c>
      <c r="CK198" s="409"/>
      <c r="CL198" s="409"/>
      <c r="CM198" s="409"/>
      <c r="CN198" s="409"/>
      <c r="CO198" s="409">
        <v>-1623.2077199999997</v>
      </c>
      <c r="CP198" s="409">
        <v>156.79764000000014</v>
      </c>
      <c r="CQ198" s="409">
        <v>30</v>
      </c>
      <c r="CR198" s="409">
        <v>275.67143568314259</v>
      </c>
      <c r="CS198" s="409">
        <v>0</v>
      </c>
      <c r="CT198" s="409">
        <v>0</v>
      </c>
      <c r="CU198" s="409">
        <v>0</v>
      </c>
      <c r="CV198" s="409">
        <v>0</v>
      </c>
      <c r="CW198" s="409">
        <v>0</v>
      </c>
      <c r="CX198" s="409">
        <v>0</v>
      </c>
      <c r="CY198" s="409">
        <v>0</v>
      </c>
      <c r="CZ198" s="409">
        <v>81.428953306372478</v>
      </c>
      <c r="DA198" s="409">
        <v>0</v>
      </c>
      <c r="DB198" s="409">
        <v>0</v>
      </c>
      <c r="DC198" s="409">
        <v>206.6457038963872</v>
      </c>
      <c r="DD198" s="409">
        <v>0</v>
      </c>
      <c r="DE198" s="409">
        <v>0</v>
      </c>
      <c r="DF198" s="409">
        <v>0</v>
      </c>
      <c r="DG198" s="409">
        <v>28.034758184800808</v>
      </c>
      <c r="DH198" s="409">
        <v>0</v>
      </c>
      <c r="DI198" s="409">
        <v>-3.3634063682883379</v>
      </c>
      <c r="DJ198" s="409"/>
      <c r="DK198" s="409">
        <v>0</v>
      </c>
      <c r="DL198" s="409">
        <v>0</v>
      </c>
      <c r="DM198" s="409">
        <v>0</v>
      </c>
      <c r="DN198" s="409">
        <v>0</v>
      </c>
      <c r="DO198" s="409">
        <v>-1.0561017007404985</v>
      </c>
      <c r="DP198" s="409">
        <v>-1.8743336152661989</v>
      </c>
      <c r="DQ198" s="409">
        <v>0</v>
      </c>
      <c r="DR198" s="409">
        <v>-34.144138020123904</v>
      </c>
      <c r="DS198" s="409"/>
      <c r="DT198" s="409"/>
      <c r="DU198" s="409"/>
      <c r="DV198" s="409">
        <v>7599.6540179546982</v>
      </c>
      <c r="DW198" s="409">
        <v>0</v>
      </c>
      <c r="DX198" s="409">
        <v>0</v>
      </c>
      <c r="DY198" s="409">
        <v>-1623.2077199999985</v>
      </c>
      <c r="DZ198" s="409">
        <v>156.79763999999977</v>
      </c>
      <c r="EA198" s="409">
        <v>0</v>
      </c>
      <c r="EB198" s="409">
        <v>0</v>
      </c>
      <c r="EC198" s="409">
        <v>-1742.0194025265355</v>
      </c>
      <c r="ED198" s="409">
        <v>0</v>
      </c>
      <c r="EE198" s="409">
        <v>0</v>
      </c>
      <c r="EF198" s="409">
        <v>0</v>
      </c>
      <c r="EG198" s="409">
        <v>0</v>
      </c>
      <c r="EH198" s="409">
        <v>0</v>
      </c>
      <c r="EI198" s="409">
        <v>0</v>
      </c>
      <c r="EJ198" s="409">
        <v>0</v>
      </c>
      <c r="EK198" s="409">
        <v>0</v>
      </c>
      <c r="EL198" s="409">
        <v>0</v>
      </c>
      <c r="EM198" s="409">
        <v>0</v>
      </c>
      <c r="EN198" s="409">
        <v>0</v>
      </c>
      <c r="EO198" s="409">
        <v>0</v>
      </c>
      <c r="EP198" s="409">
        <v>0</v>
      </c>
      <c r="EQ198" s="409">
        <v>0</v>
      </c>
      <c r="ER198" s="409">
        <v>0</v>
      </c>
      <c r="ES198" s="409">
        <v>0</v>
      </c>
      <c r="ET198" s="409">
        <v>0</v>
      </c>
      <c r="EU198" s="409">
        <v>0</v>
      </c>
      <c r="EV198" s="409">
        <v>254</v>
      </c>
      <c r="EW198" s="409">
        <v>0</v>
      </c>
      <c r="EX198" s="409">
        <v>0</v>
      </c>
      <c r="EY198" s="409">
        <v>0</v>
      </c>
      <c r="EZ198" s="409"/>
      <c r="FA198" s="409">
        <v>0</v>
      </c>
      <c r="FB198" s="409"/>
      <c r="FC198" s="409"/>
      <c r="FD198" s="409"/>
      <c r="FE198" s="409"/>
      <c r="FF198" s="409">
        <v>0</v>
      </c>
      <c r="FG198" s="409">
        <v>0</v>
      </c>
      <c r="FH198" s="409">
        <v>0</v>
      </c>
      <c r="FI198" s="409">
        <v>0</v>
      </c>
    </row>
    <row r="199" spans="1:165">
      <c r="A199" s="409">
        <v>197</v>
      </c>
      <c r="B199" s="409" t="s">
        <v>1035</v>
      </c>
      <c r="C199" s="409" t="s">
        <v>2244</v>
      </c>
      <c r="D199" s="409" t="s">
        <v>2256</v>
      </c>
      <c r="E199" s="409" t="s">
        <v>2257</v>
      </c>
      <c r="F199" s="409" t="s">
        <v>2258</v>
      </c>
      <c r="G199" s="409" t="s">
        <v>1323</v>
      </c>
      <c r="H199" s="409" t="s">
        <v>1323</v>
      </c>
      <c r="I199" s="409" t="s">
        <v>1323</v>
      </c>
      <c r="J199" s="409" t="s">
        <v>2245</v>
      </c>
      <c r="K199" s="835">
        <v>44501</v>
      </c>
      <c r="L199" s="409">
        <v>0</v>
      </c>
      <c r="M199" s="409">
        <v>0</v>
      </c>
      <c r="N199" s="409">
        <v>122.45399999999999</v>
      </c>
      <c r="O199" s="409">
        <v>122.45399999999999</v>
      </c>
      <c r="P199" s="409">
        <v>122.45399999999999</v>
      </c>
      <c r="Q199" s="409">
        <v>122.45399999999999</v>
      </c>
      <c r="R199" s="409"/>
      <c r="S199" s="409">
        <v>328.35</v>
      </c>
      <c r="T199" s="409">
        <v>133.86000000000001</v>
      </c>
      <c r="U199" s="409"/>
      <c r="V199" s="409">
        <v>56599.463340000002</v>
      </c>
      <c r="W199" s="409">
        <v>56599.463340000002</v>
      </c>
      <c r="X199" s="409">
        <v>51271.489799999996</v>
      </c>
      <c r="Y199" s="409">
        <v>0</v>
      </c>
      <c r="Z199" s="409">
        <v>1675.8947422378212</v>
      </c>
      <c r="AA199" s="409">
        <v>0</v>
      </c>
      <c r="AB199" s="409">
        <v>0</v>
      </c>
      <c r="AC199" s="409">
        <v>0</v>
      </c>
      <c r="AD199" s="409">
        <v>7892.648412099943</v>
      </c>
      <c r="AE199" s="409">
        <v>27615.971631220698</v>
      </c>
      <c r="AF199" s="409">
        <v>16392.057921191295</v>
      </c>
      <c r="AG199" s="409">
        <v>0</v>
      </c>
      <c r="AH199" s="409">
        <v>0</v>
      </c>
      <c r="AI199" s="409">
        <v>0</v>
      </c>
      <c r="AJ199" s="409">
        <v>0</v>
      </c>
      <c r="AK199" s="409">
        <v>0</v>
      </c>
      <c r="AL199" s="409">
        <v>684.2117193643179</v>
      </c>
      <c r="AM199" s="409"/>
      <c r="AN199" s="409">
        <v>115.63077508616161</v>
      </c>
      <c r="AO199" s="409">
        <v>0</v>
      </c>
      <c r="AP199" s="409">
        <v>0</v>
      </c>
      <c r="AQ199" s="409">
        <v>0</v>
      </c>
      <c r="AR199" s="409">
        <v>0</v>
      </c>
      <c r="AS199" s="409">
        <v>0</v>
      </c>
      <c r="AT199" s="409">
        <v>0</v>
      </c>
      <c r="AU199" s="409">
        <v>0</v>
      </c>
      <c r="AV199" s="409">
        <v>0</v>
      </c>
      <c r="AW199" s="409">
        <v>0</v>
      </c>
      <c r="AX199" s="409">
        <v>0</v>
      </c>
      <c r="AY199" s="409">
        <v>0</v>
      </c>
      <c r="AZ199" s="409">
        <v>0</v>
      </c>
      <c r="BA199" s="409"/>
      <c r="BB199" s="409">
        <v>0</v>
      </c>
      <c r="BC199" s="409">
        <v>0</v>
      </c>
      <c r="BD199" s="409">
        <v>0</v>
      </c>
      <c r="BE199" s="409">
        <v>0</v>
      </c>
      <c r="BF199" s="409">
        <v>0</v>
      </c>
      <c r="BG199" s="409">
        <v>2223.8419251255518</v>
      </c>
      <c r="BH199" s="409">
        <v>0</v>
      </c>
      <c r="BI199" s="409">
        <v>0</v>
      </c>
      <c r="BJ199" s="409">
        <v>0</v>
      </c>
      <c r="BK199" s="409">
        <v>0</v>
      </c>
      <c r="BL199" s="409">
        <v>5</v>
      </c>
      <c r="BM199" s="409"/>
      <c r="BN199" s="409"/>
      <c r="BO199" s="409"/>
      <c r="BP199" s="409"/>
      <c r="BQ199" s="409"/>
      <c r="BR199" s="409"/>
      <c r="BS199" s="409"/>
      <c r="BT199" s="409"/>
      <c r="BU199" s="409"/>
      <c r="BV199" s="409">
        <v>18615.899846316846</v>
      </c>
      <c r="BW199" s="409"/>
      <c r="BX199" s="409"/>
      <c r="BY199" s="409"/>
      <c r="BZ199" s="409"/>
      <c r="CA199" s="409"/>
      <c r="CB199" s="409"/>
      <c r="CC199" s="409"/>
      <c r="CD199" s="409"/>
      <c r="CE199" s="409"/>
      <c r="CF199" s="409"/>
      <c r="CG199" s="409"/>
      <c r="CH199" s="409"/>
      <c r="CI199" s="409">
        <v>51269.815000000002</v>
      </c>
      <c r="CJ199" s="409">
        <v>-5329.6783400000058</v>
      </c>
      <c r="CK199" s="409"/>
      <c r="CL199" s="409"/>
      <c r="CM199" s="409"/>
      <c r="CN199" s="409"/>
      <c r="CO199" s="409">
        <v>-5898.6091800000013</v>
      </c>
      <c r="CP199" s="409">
        <v>570.63563999999951</v>
      </c>
      <c r="CQ199" s="409">
        <v>30</v>
      </c>
      <c r="CR199" s="409">
        <v>1001.7475176339831</v>
      </c>
      <c r="CS199" s="409">
        <v>0</v>
      </c>
      <c r="CT199" s="409">
        <v>0</v>
      </c>
      <c r="CU199" s="409">
        <v>0</v>
      </c>
      <c r="CV199" s="409">
        <v>0</v>
      </c>
      <c r="CW199" s="409">
        <v>0</v>
      </c>
      <c r="CX199" s="409">
        <v>0</v>
      </c>
      <c r="CY199" s="409">
        <v>0</v>
      </c>
      <c r="CZ199" s="409">
        <v>295.90026850641152</v>
      </c>
      <c r="DA199" s="409">
        <v>0</v>
      </c>
      <c r="DB199" s="409">
        <v>0</v>
      </c>
      <c r="DC199" s="409">
        <v>750.91864485326005</v>
      </c>
      <c r="DD199" s="409">
        <v>0</v>
      </c>
      <c r="DE199" s="409">
        <v>0</v>
      </c>
      <c r="DF199" s="409">
        <v>0</v>
      </c>
      <c r="DG199" s="409">
        <v>101.87399122254783</v>
      </c>
      <c r="DH199" s="409">
        <v>0</v>
      </c>
      <c r="DI199" s="409">
        <v>-12.222100457664055</v>
      </c>
      <c r="DJ199" s="409"/>
      <c r="DK199" s="409">
        <v>0</v>
      </c>
      <c r="DL199" s="409">
        <v>0</v>
      </c>
      <c r="DM199" s="409">
        <v>0</v>
      </c>
      <c r="DN199" s="409">
        <v>0</v>
      </c>
      <c r="DO199" s="409">
        <v>-3.8377108403105922</v>
      </c>
      <c r="DP199" s="409">
        <v>-6.8110395321084098</v>
      </c>
      <c r="DQ199" s="409">
        <v>0</v>
      </c>
      <c r="DR199" s="409">
        <v>-124.07453611815859</v>
      </c>
      <c r="DS199" s="409"/>
      <c r="DT199" s="409"/>
      <c r="DU199" s="409"/>
      <c r="DV199" s="409">
        <v>27615.971631220698</v>
      </c>
      <c r="DW199" s="409">
        <v>0</v>
      </c>
      <c r="DX199" s="409">
        <v>0</v>
      </c>
      <c r="DY199" s="409">
        <v>-5898.6091800000067</v>
      </c>
      <c r="DZ199" s="409">
        <v>570.63563999999678</v>
      </c>
      <c r="EA199" s="409">
        <v>0</v>
      </c>
      <c r="EB199" s="409">
        <v>0</v>
      </c>
      <c r="EC199" s="409">
        <v>-6330.2300719943087</v>
      </c>
      <c r="ED199" s="409">
        <v>0</v>
      </c>
      <c r="EE199" s="409">
        <v>0</v>
      </c>
      <c r="EF199" s="409">
        <v>0</v>
      </c>
      <c r="EG199" s="409">
        <v>0</v>
      </c>
      <c r="EH199" s="409">
        <v>0</v>
      </c>
      <c r="EI199" s="409">
        <v>0</v>
      </c>
      <c r="EJ199" s="409">
        <v>0</v>
      </c>
      <c r="EK199" s="409">
        <v>0</v>
      </c>
      <c r="EL199" s="409">
        <v>0</v>
      </c>
      <c r="EM199" s="409">
        <v>0</v>
      </c>
      <c r="EN199" s="409">
        <v>0</v>
      </c>
      <c r="EO199" s="409">
        <v>0</v>
      </c>
      <c r="EP199" s="409">
        <v>0</v>
      </c>
      <c r="EQ199" s="409">
        <v>0</v>
      </c>
      <c r="ER199" s="409">
        <v>0</v>
      </c>
      <c r="ES199" s="409">
        <v>0</v>
      </c>
      <c r="ET199" s="409">
        <v>0</v>
      </c>
      <c r="EU199" s="409">
        <v>0</v>
      </c>
      <c r="EV199" s="409">
        <v>254</v>
      </c>
      <c r="EW199" s="409">
        <v>0</v>
      </c>
      <c r="EX199" s="409">
        <v>0</v>
      </c>
      <c r="EY199" s="409">
        <v>0</v>
      </c>
      <c r="EZ199" s="409"/>
      <c r="FA199" s="409">
        <v>0</v>
      </c>
      <c r="FB199" s="409"/>
      <c r="FC199" s="409"/>
      <c r="FD199" s="409"/>
      <c r="FE199" s="409"/>
      <c r="FF199" s="409">
        <v>0</v>
      </c>
      <c r="FG199" s="409">
        <v>0</v>
      </c>
      <c r="FH199" s="409">
        <v>0</v>
      </c>
      <c r="FI199" s="409">
        <v>0</v>
      </c>
    </row>
    <row r="200" spans="1:165">
      <c r="A200" s="409">
        <v>198</v>
      </c>
      <c r="B200" s="409" t="s">
        <v>1035</v>
      </c>
      <c r="C200" s="409" t="s">
        <v>2244</v>
      </c>
      <c r="D200" s="409" t="s">
        <v>1994</v>
      </c>
      <c r="E200" s="409" t="s">
        <v>1000</v>
      </c>
      <c r="F200" s="409" t="s">
        <v>2259</v>
      </c>
      <c r="G200" s="409" t="s">
        <v>1323</v>
      </c>
      <c r="H200" s="409" t="s">
        <v>1323</v>
      </c>
      <c r="I200" s="409" t="s">
        <v>1323</v>
      </c>
      <c r="J200" s="409" t="s">
        <v>2245</v>
      </c>
      <c r="K200" s="835">
        <v>44501</v>
      </c>
      <c r="L200" s="409">
        <v>0</v>
      </c>
      <c r="M200" s="409">
        <v>0</v>
      </c>
      <c r="N200" s="409">
        <v>66.826999999999998</v>
      </c>
      <c r="O200" s="409">
        <v>62.81738</v>
      </c>
      <c r="P200" s="409">
        <v>66.826999999999998</v>
      </c>
      <c r="Q200" s="409">
        <v>62.81738</v>
      </c>
      <c r="R200" s="409"/>
      <c r="S200" s="409">
        <v>597.01</v>
      </c>
      <c r="T200" s="409">
        <v>243.39</v>
      </c>
      <c r="U200" s="409"/>
      <c r="V200" s="409">
        <v>56161.410799999998</v>
      </c>
      <c r="W200" s="409">
        <v>56161.410799999998</v>
      </c>
      <c r="X200" s="409">
        <v>50874.058560000005</v>
      </c>
      <c r="Y200" s="409">
        <v>0</v>
      </c>
      <c r="Z200" s="409">
        <v>1662.88814856676</v>
      </c>
      <c r="AA200" s="409">
        <v>0</v>
      </c>
      <c r="AB200" s="409">
        <v>0</v>
      </c>
      <c r="AC200" s="409">
        <v>0</v>
      </c>
      <c r="AD200" s="409">
        <v>7831.3936875057034</v>
      </c>
      <c r="AE200" s="409">
        <v>27401.644494327109</v>
      </c>
      <c r="AF200" s="409">
        <v>16264.839408333668</v>
      </c>
      <c r="AG200" s="409">
        <v>0</v>
      </c>
      <c r="AH200" s="409">
        <v>0</v>
      </c>
      <c r="AI200" s="409">
        <v>0</v>
      </c>
      <c r="AJ200" s="409">
        <v>0</v>
      </c>
      <c r="AK200" s="409">
        <v>0</v>
      </c>
      <c r="AL200" s="409">
        <v>678.90156258987452</v>
      </c>
      <c r="AM200" s="409"/>
      <c r="AN200" s="409">
        <v>114.73336639484519</v>
      </c>
      <c r="AO200" s="409">
        <v>0</v>
      </c>
      <c r="AP200" s="409">
        <v>0</v>
      </c>
      <c r="AQ200" s="409">
        <v>0</v>
      </c>
      <c r="AR200" s="409">
        <v>0</v>
      </c>
      <c r="AS200" s="409">
        <v>0</v>
      </c>
      <c r="AT200" s="409">
        <v>0</v>
      </c>
      <c r="AU200" s="409">
        <v>0</v>
      </c>
      <c r="AV200" s="409">
        <v>0</v>
      </c>
      <c r="AW200" s="409">
        <v>0</v>
      </c>
      <c r="AX200" s="409">
        <v>0</v>
      </c>
      <c r="AY200" s="409">
        <v>0</v>
      </c>
      <c r="AZ200" s="409">
        <v>0</v>
      </c>
      <c r="BA200" s="409"/>
      <c r="BB200" s="409">
        <v>0</v>
      </c>
      <c r="BC200" s="409">
        <v>0</v>
      </c>
      <c r="BD200" s="409">
        <v>0</v>
      </c>
      <c r="BE200" s="409">
        <v>0</v>
      </c>
      <c r="BF200" s="409">
        <v>0</v>
      </c>
      <c r="BG200" s="409">
        <v>2206.5827216804964</v>
      </c>
      <c r="BH200" s="409">
        <v>0</v>
      </c>
      <c r="BI200" s="409">
        <v>0</v>
      </c>
      <c r="BJ200" s="409">
        <v>0</v>
      </c>
      <c r="BK200" s="409">
        <v>0</v>
      </c>
      <c r="BL200" s="409">
        <v>9</v>
      </c>
      <c r="BM200" s="409"/>
      <c r="BN200" s="409"/>
      <c r="BO200" s="409"/>
      <c r="BP200" s="409"/>
      <c r="BQ200" s="409">
        <v>3052.4435135999984</v>
      </c>
      <c r="BR200" s="409"/>
      <c r="BS200" s="409"/>
      <c r="BT200" s="409"/>
      <c r="BU200" s="409"/>
      <c r="BV200" s="409">
        <v>18471.422130014165</v>
      </c>
      <c r="BW200" s="409"/>
      <c r="BX200" s="409"/>
      <c r="BY200" s="409"/>
      <c r="BZ200" s="409"/>
      <c r="CA200" s="409"/>
      <c r="CB200" s="409"/>
      <c r="CC200" s="409"/>
      <c r="CD200" s="409"/>
      <c r="CE200" s="409"/>
      <c r="CF200" s="409"/>
      <c r="CG200" s="409"/>
      <c r="CH200" s="409"/>
      <c r="CI200" s="409">
        <v>47823.609599999996</v>
      </c>
      <c r="CJ200" s="409">
        <v>-4968.1465520000129</v>
      </c>
      <c r="CK200" s="409"/>
      <c r="CL200" s="409"/>
      <c r="CM200" s="409"/>
      <c r="CN200" s="409"/>
      <c r="CO200" s="409">
        <v>-5852.7086599999984</v>
      </c>
      <c r="CP200" s="409">
        <v>565.35642000000053</v>
      </c>
      <c r="CQ200" s="409">
        <v>30</v>
      </c>
      <c r="CR200" s="409">
        <v>993.97297034623989</v>
      </c>
      <c r="CS200" s="409">
        <v>0</v>
      </c>
      <c r="CT200" s="409">
        <v>0</v>
      </c>
      <c r="CU200" s="409">
        <v>0</v>
      </c>
      <c r="CV200" s="409">
        <v>0</v>
      </c>
      <c r="CW200" s="409">
        <v>0</v>
      </c>
      <c r="CX200" s="409">
        <v>0</v>
      </c>
      <c r="CY200" s="409">
        <v>0</v>
      </c>
      <c r="CZ200" s="409">
        <v>293.60379101138187</v>
      </c>
      <c r="DA200" s="409">
        <v>0</v>
      </c>
      <c r="DB200" s="409">
        <v>0</v>
      </c>
      <c r="DC200" s="409">
        <v>745.09077664205688</v>
      </c>
      <c r="DD200" s="409">
        <v>0</v>
      </c>
      <c r="DE200" s="409">
        <v>0</v>
      </c>
      <c r="DF200" s="409">
        <v>0</v>
      </c>
      <c r="DG200" s="409">
        <v>101.08334872211526</v>
      </c>
      <c r="DH200" s="409">
        <v>0</v>
      </c>
      <c r="DI200" s="409">
        <v>-12.12724492142047</v>
      </c>
      <c r="DJ200" s="409"/>
      <c r="DK200" s="409">
        <v>0</v>
      </c>
      <c r="DL200" s="409">
        <v>0</v>
      </c>
      <c r="DM200" s="409">
        <v>0</v>
      </c>
      <c r="DN200" s="409">
        <v>0</v>
      </c>
      <c r="DO200" s="409">
        <v>-3.8079264246998719</v>
      </c>
      <c r="DP200" s="409">
        <v>-6.7581791576235162</v>
      </c>
      <c r="DQ200" s="409">
        <v>0</v>
      </c>
      <c r="DR200" s="409">
        <v>-123.11159552556491</v>
      </c>
      <c r="DS200" s="409"/>
      <c r="DT200" s="409"/>
      <c r="DU200" s="409"/>
      <c r="DV200" s="409">
        <v>27401.644494327109</v>
      </c>
      <c r="DW200" s="409">
        <v>0</v>
      </c>
      <c r="DX200" s="409">
        <v>0</v>
      </c>
      <c r="DY200" s="409">
        <v>-5852.7086599999966</v>
      </c>
      <c r="DZ200" s="409">
        <v>565.35642000000007</v>
      </c>
      <c r="EA200" s="409">
        <v>0</v>
      </c>
      <c r="EB200" s="409">
        <v>0</v>
      </c>
      <c r="EC200" s="409">
        <v>-6281.1012524355647</v>
      </c>
      <c r="ED200" s="409">
        <v>0</v>
      </c>
      <c r="EE200" s="409">
        <v>0</v>
      </c>
      <c r="EF200" s="409">
        <v>0</v>
      </c>
      <c r="EG200" s="409">
        <v>0</v>
      </c>
      <c r="EH200" s="409">
        <v>0</v>
      </c>
      <c r="EI200" s="409">
        <v>0</v>
      </c>
      <c r="EJ200" s="409">
        <v>0</v>
      </c>
      <c r="EK200" s="409">
        <v>0</v>
      </c>
      <c r="EL200" s="409">
        <v>0</v>
      </c>
      <c r="EM200" s="409">
        <v>0</v>
      </c>
      <c r="EN200" s="409">
        <v>0</v>
      </c>
      <c r="EO200" s="409">
        <v>0</v>
      </c>
      <c r="EP200" s="409">
        <v>0</v>
      </c>
      <c r="EQ200" s="409">
        <v>0</v>
      </c>
      <c r="ER200" s="409">
        <v>0</v>
      </c>
      <c r="ES200" s="409">
        <v>0</v>
      </c>
      <c r="ET200" s="409">
        <v>0</v>
      </c>
      <c r="EU200" s="409">
        <v>0</v>
      </c>
      <c r="EV200" s="409">
        <v>254</v>
      </c>
      <c r="EW200" s="409">
        <v>0</v>
      </c>
      <c r="EX200" s="409">
        <v>0</v>
      </c>
      <c r="EY200" s="409">
        <v>0</v>
      </c>
      <c r="EZ200" s="409"/>
      <c r="FA200" s="409">
        <v>0</v>
      </c>
      <c r="FB200" s="409"/>
      <c r="FC200" s="409"/>
      <c r="FD200" s="409"/>
      <c r="FE200" s="409"/>
      <c r="FF200" s="409">
        <v>0</v>
      </c>
      <c r="FG200" s="409">
        <v>0</v>
      </c>
      <c r="FH200" s="409">
        <v>0</v>
      </c>
      <c r="FI200" s="409">
        <v>0</v>
      </c>
    </row>
    <row r="201" spans="1:165">
      <c r="A201" s="409">
        <v>199</v>
      </c>
      <c r="B201" s="409" t="s">
        <v>1035</v>
      </c>
      <c r="C201" s="409" t="s">
        <v>2244</v>
      </c>
      <c r="D201" s="409" t="s">
        <v>1994</v>
      </c>
      <c r="E201" s="409" t="s">
        <v>2260</v>
      </c>
      <c r="F201" s="409" t="s">
        <v>1323</v>
      </c>
      <c r="G201" s="409" t="s">
        <v>1323</v>
      </c>
      <c r="H201" s="409" t="s">
        <v>1323</v>
      </c>
      <c r="I201" s="409" t="s">
        <v>1323</v>
      </c>
      <c r="J201" s="409" t="s">
        <v>2245</v>
      </c>
      <c r="K201" s="835">
        <v>44501</v>
      </c>
      <c r="L201" s="409">
        <v>0</v>
      </c>
      <c r="M201" s="409">
        <v>0</v>
      </c>
      <c r="N201" s="409">
        <v>3.4620000000000002</v>
      </c>
      <c r="O201" s="409">
        <v>3.4620000000000002</v>
      </c>
      <c r="P201" s="409">
        <v>3.4620000000000002</v>
      </c>
      <c r="Q201" s="409">
        <v>3.4620000000000002</v>
      </c>
      <c r="R201" s="409"/>
      <c r="S201" s="409">
        <v>597.01</v>
      </c>
      <c r="T201" s="409">
        <v>243.39</v>
      </c>
      <c r="U201" s="409"/>
      <c r="V201" s="409">
        <v>2909.4648000000002</v>
      </c>
      <c r="W201" s="409">
        <v>2909.4648000000002</v>
      </c>
      <c r="X201" s="409">
        <v>2635.5513600000004</v>
      </c>
      <c r="Y201" s="409">
        <v>0</v>
      </c>
      <c r="Z201" s="409">
        <v>86.1465989845141</v>
      </c>
      <c r="AA201" s="409">
        <v>0</v>
      </c>
      <c r="AB201" s="409">
        <v>0</v>
      </c>
      <c r="AC201" s="409">
        <v>0</v>
      </c>
      <c r="AD201" s="409">
        <v>405.70854514110687</v>
      </c>
      <c r="AE201" s="409">
        <v>1419.5533727289937</v>
      </c>
      <c r="AF201" s="409">
        <v>842.60664150195521</v>
      </c>
      <c r="AG201" s="409">
        <v>0</v>
      </c>
      <c r="AH201" s="409">
        <v>0</v>
      </c>
      <c r="AI201" s="409">
        <v>0</v>
      </c>
      <c r="AJ201" s="409">
        <v>0</v>
      </c>
      <c r="AK201" s="409">
        <v>0</v>
      </c>
      <c r="AL201" s="409">
        <v>35.170772437579807</v>
      </c>
      <c r="AM201" s="409"/>
      <c r="AN201" s="409">
        <v>5.9438088565842264</v>
      </c>
      <c r="AO201" s="409">
        <v>0</v>
      </c>
      <c r="AP201" s="409">
        <v>0</v>
      </c>
      <c r="AQ201" s="409">
        <v>0</v>
      </c>
      <c r="AR201" s="409">
        <v>0</v>
      </c>
      <c r="AS201" s="409">
        <v>0</v>
      </c>
      <c r="AT201" s="409">
        <v>0</v>
      </c>
      <c r="AU201" s="409">
        <v>0</v>
      </c>
      <c r="AV201" s="409">
        <v>0</v>
      </c>
      <c r="AW201" s="409">
        <v>0</v>
      </c>
      <c r="AX201" s="409">
        <v>0</v>
      </c>
      <c r="AY201" s="409">
        <v>0</v>
      </c>
      <c r="AZ201" s="409">
        <v>0</v>
      </c>
      <c r="BA201" s="409"/>
      <c r="BB201" s="409">
        <v>0</v>
      </c>
      <c r="BC201" s="409">
        <v>0</v>
      </c>
      <c r="BD201" s="409">
        <v>0</v>
      </c>
      <c r="BE201" s="409">
        <v>0</v>
      </c>
      <c r="BF201" s="409">
        <v>0</v>
      </c>
      <c r="BG201" s="409">
        <v>114.31291816867252</v>
      </c>
      <c r="BH201" s="409">
        <v>0</v>
      </c>
      <c r="BI201" s="409">
        <v>0</v>
      </c>
      <c r="BJ201" s="409">
        <v>0</v>
      </c>
      <c r="BK201" s="409">
        <v>1042.3900000000001</v>
      </c>
      <c r="BL201" s="409">
        <v>3</v>
      </c>
      <c r="BM201" s="409"/>
      <c r="BN201" s="409"/>
      <c r="BO201" s="409"/>
      <c r="BP201" s="409"/>
      <c r="BQ201" s="409"/>
      <c r="BR201" s="409"/>
      <c r="BS201" s="409"/>
      <c r="BT201" s="409"/>
      <c r="BU201" s="409"/>
      <c r="BV201" s="409">
        <v>956.91955967062768</v>
      </c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09"/>
      <c r="CI201" s="409">
        <v>2634.0288</v>
      </c>
      <c r="CJ201" s="409">
        <v>-275.4660000000008</v>
      </c>
      <c r="CK201" s="409"/>
      <c r="CL201" s="409"/>
      <c r="CM201" s="409"/>
      <c r="CN201" s="409"/>
      <c r="CO201" s="409">
        <v>-303.20195999999999</v>
      </c>
      <c r="CP201" s="409">
        <v>29.28852000000003</v>
      </c>
      <c r="CQ201" s="409">
        <v>30</v>
      </c>
      <c r="CR201" s="409">
        <v>51.493175263571402</v>
      </c>
      <c r="CS201" s="409">
        <v>0</v>
      </c>
      <c r="CT201" s="409">
        <v>0</v>
      </c>
      <c r="CU201" s="409">
        <v>0</v>
      </c>
      <c r="CV201" s="409">
        <v>0</v>
      </c>
      <c r="CW201" s="409">
        <v>0</v>
      </c>
      <c r="CX201" s="409">
        <v>0</v>
      </c>
      <c r="CY201" s="409">
        <v>0</v>
      </c>
      <c r="CZ201" s="409">
        <v>15.210264181863636</v>
      </c>
      <c r="DA201" s="409">
        <v>0</v>
      </c>
      <c r="DB201" s="409">
        <v>0</v>
      </c>
      <c r="DC201" s="409">
        <v>38.599731676340411</v>
      </c>
      <c r="DD201" s="409">
        <v>0</v>
      </c>
      <c r="DE201" s="409">
        <v>0</v>
      </c>
      <c r="DF201" s="409">
        <v>0</v>
      </c>
      <c r="DG201" s="409">
        <v>5.2366641219262249</v>
      </c>
      <c r="DH201" s="409">
        <v>0</v>
      </c>
      <c r="DI201" s="409">
        <v>-0.62825687099461902</v>
      </c>
      <c r="DJ201" s="409"/>
      <c r="DK201" s="409">
        <v>0</v>
      </c>
      <c r="DL201" s="409">
        <v>0</v>
      </c>
      <c r="DM201" s="409">
        <v>0</v>
      </c>
      <c r="DN201" s="409">
        <v>0</v>
      </c>
      <c r="DO201" s="409">
        <v>-0.19727118204185246</v>
      </c>
      <c r="DP201" s="409">
        <v>-0.35011022855571294</v>
      </c>
      <c r="DQ201" s="409">
        <v>0</v>
      </c>
      <c r="DR201" s="409">
        <v>-6.3778464349664912</v>
      </c>
      <c r="DS201" s="409"/>
      <c r="DT201" s="409"/>
      <c r="DU201" s="409"/>
      <c r="DV201" s="409">
        <v>1419.5533727289937</v>
      </c>
      <c r="DW201" s="409">
        <v>0</v>
      </c>
      <c r="DX201" s="409">
        <v>0</v>
      </c>
      <c r="DY201" s="409">
        <v>-303.2019600000001</v>
      </c>
      <c r="DZ201" s="409">
        <v>29.288520000000062</v>
      </c>
      <c r="EA201" s="409">
        <v>0</v>
      </c>
      <c r="EB201" s="409">
        <v>0</v>
      </c>
      <c r="EC201" s="409">
        <v>-325.39501303263569</v>
      </c>
      <c r="ED201" s="409">
        <v>0</v>
      </c>
      <c r="EE201" s="409">
        <v>0</v>
      </c>
      <c r="EF201" s="409">
        <v>0</v>
      </c>
      <c r="EG201" s="409">
        <v>0</v>
      </c>
      <c r="EH201" s="409">
        <v>0</v>
      </c>
      <c r="EI201" s="409">
        <v>0</v>
      </c>
      <c r="EJ201" s="409">
        <v>0</v>
      </c>
      <c r="EK201" s="409">
        <v>0</v>
      </c>
      <c r="EL201" s="409">
        <v>0</v>
      </c>
      <c r="EM201" s="409">
        <v>0</v>
      </c>
      <c r="EN201" s="409">
        <v>0</v>
      </c>
      <c r="EO201" s="409">
        <v>0</v>
      </c>
      <c r="EP201" s="409">
        <v>0</v>
      </c>
      <c r="EQ201" s="409">
        <v>0</v>
      </c>
      <c r="ER201" s="409">
        <v>0</v>
      </c>
      <c r="ES201" s="409">
        <v>0</v>
      </c>
      <c r="ET201" s="409">
        <v>0</v>
      </c>
      <c r="EU201" s="409">
        <v>0</v>
      </c>
      <c r="EV201" s="409">
        <v>254</v>
      </c>
      <c r="EW201" s="409">
        <v>0</v>
      </c>
      <c r="EX201" s="409">
        <v>0</v>
      </c>
      <c r="EY201" s="409">
        <v>0</v>
      </c>
      <c r="EZ201" s="409"/>
      <c r="FA201" s="409">
        <v>0</v>
      </c>
      <c r="FB201" s="409"/>
      <c r="FC201" s="409"/>
      <c r="FD201" s="409"/>
      <c r="FE201" s="409"/>
      <c r="FF201" s="409">
        <v>0</v>
      </c>
      <c r="FG201" s="409">
        <v>0</v>
      </c>
      <c r="FH201" s="409">
        <v>0</v>
      </c>
      <c r="FI201" s="409">
        <v>0</v>
      </c>
    </row>
    <row r="202" spans="1:165">
      <c r="A202" s="409">
        <v>200</v>
      </c>
      <c r="B202" s="409" t="s">
        <v>1035</v>
      </c>
      <c r="C202" s="409" t="s">
        <v>2244</v>
      </c>
      <c r="D202" s="409" t="s">
        <v>2254</v>
      </c>
      <c r="E202" s="409" t="s">
        <v>973</v>
      </c>
      <c r="F202" s="409" t="s">
        <v>2261</v>
      </c>
      <c r="G202" s="409" t="s">
        <v>2262</v>
      </c>
      <c r="H202" s="409" t="s">
        <v>1323</v>
      </c>
      <c r="I202" s="409" t="s">
        <v>1323</v>
      </c>
      <c r="J202" s="409" t="s">
        <v>2245</v>
      </c>
      <c r="K202" s="835">
        <v>44501</v>
      </c>
      <c r="L202" s="409">
        <v>0</v>
      </c>
      <c r="M202" s="409">
        <v>0</v>
      </c>
      <c r="N202" s="409">
        <v>0</v>
      </c>
      <c r="O202" s="409">
        <v>0</v>
      </c>
      <c r="P202" s="409">
        <v>0</v>
      </c>
      <c r="Q202" s="409">
        <v>0</v>
      </c>
      <c r="R202" s="409"/>
      <c r="S202" s="409"/>
      <c r="T202" s="409"/>
      <c r="U202" s="409"/>
      <c r="V202" s="409"/>
      <c r="W202" s="409"/>
      <c r="X202" s="409"/>
      <c r="Y202" s="409"/>
      <c r="Z202" s="409"/>
      <c r="AA202" s="409">
        <v>0</v>
      </c>
      <c r="AB202" s="409"/>
      <c r="AC202" s="409"/>
      <c r="AD202" s="409"/>
      <c r="AE202" s="409"/>
      <c r="AF202" s="409"/>
      <c r="AG202" s="409"/>
      <c r="AH202" s="409"/>
      <c r="AI202" s="409"/>
      <c r="AJ202" s="409"/>
      <c r="AK202" s="409"/>
      <c r="AL202" s="409"/>
      <c r="AM202" s="409"/>
      <c r="AN202" s="409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09">
        <v>0</v>
      </c>
      <c r="BA202" s="409"/>
      <c r="BB202" s="409"/>
      <c r="BC202" s="409"/>
      <c r="BD202" s="409"/>
      <c r="BE202" s="409"/>
      <c r="BF202" s="409"/>
      <c r="BG202" s="409"/>
      <c r="BH202" s="409"/>
      <c r="BI202" s="409">
        <v>0</v>
      </c>
      <c r="BJ202" s="409">
        <v>0</v>
      </c>
      <c r="BK202" s="409">
        <v>0</v>
      </c>
      <c r="BL202" s="409">
        <v>7</v>
      </c>
      <c r="BM202" s="409"/>
      <c r="BN202" s="409"/>
      <c r="BO202" s="409"/>
      <c r="BP202" s="409"/>
      <c r="BQ202" s="409"/>
      <c r="BR202" s="409"/>
      <c r="BS202" s="409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09"/>
      <c r="CI202" s="409"/>
      <c r="CJ202" s="409">
        <v>-0.03</v>
      </c>
      <c r="CK202" s="409"/>
      <c r="CL202" s="409"/>
      <c r="CM202" s="409"/>
      <c r="CN202" s="409"/>
      <c r="CO202" s="409">
        <v>0</v>
      </c>
      <c r="CP202" s="409">
        <v>0</v>
      </c>
      <c r="CQ202" s="409">
        <v>30</v>
      </c>
      <c r="CR202" s="409"/>
      <c r="CS202" s="409"/>
      <c r="CT202" s="409"/>
      <c r="CU202" s="409"/>
      <c r="CV202" s="409"/>
      <c r="CW202" s="409"/>
      <c r="CX202" s="409"/>
      <c r="CY202" s="409"/>
      <c r="CZ202" s="409"/>
      <c r="DA202" s="409"/>
      <c r="DB202" s="409"/>
      <c r="DC202" s="409"/>
      <c r="DD202" s="409"/>
      <c r="DE202" s="409"/>
      <c r="DF202" s="409"/>
      <c r="DG202" s="409"/>
      <c r="DH202" s="409"/>
      <c r="DI202" s="409"/>
      <c r="DJ202" s="409"/>
      <c r="DK202" s="409">
        <v>0</v>
      </c>
      <c r="DL202" s="409"/>
      <c r="DM202" s="409"/>
      <c r="DN202" s="409"/>
      <c r="DO202" s="409"/>
      <c r="DP202" s="409"/>
      <c r="DQ202" s="409"/>
      <c r="DR202" s="409"/>
      <c r="DS202" s="409"/>
      <c r="DT202" s="409"/>
      <c r="DU202" s="409"/>
      <c r="DV202" s="409"/>
      <c r="DW202" s="409"/>
      <c r="DX202" s="409"/>
      <c r="DY202" s="409"/>
      <c r="DZ202" s="409"/>
      <c r="EA202" s="409"/>
      <c r="EB202" s="409"/>
      <c r="EC202" s="409"/>
      <c r="ED202" s="409"/>
      <c r="EE202" s="409"/>
      <c r="EF202" s="409"/>
      <c r="EG202" s="409"/>
      <c r="EH202" s="409"/>
      <c r="EI202" s="409"/>
      <c r="EJ202" s="409"/>
      <c r="EK202" s="409"/>
      <c r="EL202" s="409"/>
      <c r="EM202" s="409"/>
      <c r="EN202" s="409"/>
      <c r="EO202" s="409"/>
      <c r="EP202" s="409"/>
      <c r="EQ202" s="409"/>
      <c r="ER202" s="409"/>
      <c r="ES202" s="409"/>
      <c r="ET202" s="409"/>
      <c r="EU202" s="409"/>
      <c r="EV202" s="409">
        <v>254</v>
      </c>
      <c r="EW202" s="409"/>
      <c r="EX202" s="409"/>
      <c r="EY202" s="409"/>
      <c r="EZ202" s="409"/>
      <c r="FA202" s="409">
        <v>0</v>
      </c>
      <c r="FB202" s="409"/>
      <c r="FC202" s="409"/>
      <c r="FD202" s="409"/>
      <c r="FE202" s="409"/>
      <c r="FF202" s="409">
        <v>0</v>
      </c>
      <c r="FG202" s="409">
        <v>0</v>
      </c>
      <c r="FH202" s="409">
        <v>0</v>
      </c>
      <c r="FI202" s="409">
        <v>0</v>
      </c>
    </row>
    <row r="203" spans="1:165">
      <c r="A203" s="409">
        <v>201</v>
      </c>
      <c r="B203" s="409" t="s">
        <v>1035</v>
      </c>
      <c r="C203" s="409" t="s">
        <v>2244</v>
      </c>
      <c r="D203" s="409" t="s">
        <v>2254</v>
      </c>
      <c r="E203" s="409" t="s">
        <v>973</v>
      </c>
      <c r="F203" s="409" t="s">
        <v>2261</v>
      </c>
      <c r="G203" s="409" t="s">
        <v>2262</v>
      </c>
      <c r="H203" s="409" t="s">
        <v>1323</v>
      </c>
      <c r="I203" s="409" t="s">
        <v>1323</v>
      </c>
      <c r="J203" s="409" t="s">
        <v>2245</v>
      </c>
      <c r="K203" s="835">
        <v>44501</v>
      </c>
      <c r="L203" s="409">
        <v>0</v>
      </c>
      <c r="M203" s="409">
        <v>0</v>
      </c>
      <c r="N203" s="409">
        <v>8.7550000000000008</v>
      </c>
      <c r="O203" s="409">
        <v>8.7550000000000008</v>
      </c>
      <c r="P203" s="409">
        <v>8.7550000000000008</v>
      </c>
      <c r="Q203" s="409">
        <v>8.7550000000000008</v>
      </c>
      <c r="R203" s="409"/>
      <c r="S203" s="409">
        <v>597.01</v>
      </c>
      <c r="T203" s="409">
        <v>243.39</v>
      </c>
      <c r="U203" s="409"/>
      <c r="V203" s="409">
        <v>7357.7020000000011</v>
      </c>
      <c r="W203" s="409">
        <v>7357.7020000000011</v>
      </c>
      <c r="X203" s="409">
        <v>6665.0064000000002</v>
      </c>
      <c r="Y203" s="409">
        <v>0</v>
      </c>
      <c r="Z203" s="409">
        <v>217.854845207805</v>
      </c>
      <c r="AA203" s="409">
        <v>0</v>
      </c>
      <c r="AB203" s="409">
        <v>0</v>
      </c>
      <c r="AC203" s="409">
        <v>0</v>
      </c>
      <c r="AD203" s="409">
        <v>1025.9902694137465</v>
      </c>
      <c r="AE203" s="409">
        <v>3589.8872842987694</v>
      </c>
      <c r="AF203" s="409">
        <v>2130.855328235014</v>
      </c>
      <c r="AG203" s="409">
        <v>0</v>
      </c>
      <c r="AH203" s="409">
        <v>0</v>
      </c>
      <c r="AI203" s="409">
        <v>0</v>
      </c>
      <c r="AJ203" s="409">
        <v>0</v>
      </c>
      <c r="AK203" s="409">
        <v>0</v>
      </c>
      <c r="AL203" s="409">
        <v>88.942840176490819</v>
      </c>
      <c r="AM203" s="409"/>
      <c r="AN203" s="409">
        <v>15.031209283476286</v>
      </c>
      <c r="AO203" s="409">
        <v>0</v>
      </c>
      <c r="AP203" s="409">
        <v>0</v>
      </c>
      <c r="AQ203" s="409">
        <v>0</v>
      </c>
      <c r="AR203" s="409">
        <v>0</v>
      </c>
      <c r="AS203" s="409">
        <v>0</v>
      </c>
      <c r="AT203" s="409">
        <v>0</v>
      </c>
      <c r="AU203" s="409">
        <v>0</v>
      </c>
      <c r="AV203" s="409">
        <v>0</v>
      </c>
      <c r="AW203" s="409">
        <v>0</v>
      </c>
      <c r="AX203" s="409">
        <v>0</v>
      </c>
      <c r="AY203" s="409">
        <v>0</v>
      </c>
      <c r="AZ203" s="409">
        <v>0</v>
      </c>
      <c r="BA203" s="409"/>
      <c r="BB203" s="409">
        <v>0</v>
      </c>
      <c r="BC203" s="409">
        <v>0</v>
      </c>
      <c r="BD203" s="409">
        <v>0</v>
      </c>
      <c r="BE203" s="409">
        <v>0</v>
      </c>
      <c r="BF203" s="409">
        <v>0</v>
      </c>
      <c r="BG203" s="409">
        <v>289.08422835549624</v>
      </c>
      <c r="BH203" s="409">
        <v>0</v>
      </c>
      <c r="BI203" s="409">
        <v>0</v>
      </c>
      <c r="BJ203" s="409">
        <v>0</v>
      </c>
      <c r="BK203" s="409">
        <v>0</v>
      </c>
      <c r="BL203" s="409">
        <v>0</v>
      </c>
      <c r="BM203" s="409"/>
      <c r="BN203" s="409"/>
      <c r="BO203" s="409"/>
      <c r="BP203" s="409"/>
      <c r="BQ203" s="409"/>
      <c r="BR203" s="409">
        <v>799.85679999999991</v>
      </c>
      <c r="BS203" s="409"/>
      <c r="BT203" s="409"/>
      <c r="BU203" s="409"/>
      <c r="BV203" s="409">
        <v>2419.9395565905102</v>
      </c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>
        <v>5868.4992000000002</v>
      </c>
      <c r="CJ203" s="409">
        <v>-606.29105000000163</v>
      </c>
      <c r="CK203" s="409"/>
      <c r="CL203" s="409"/>
      <c r="CM203" s="409"/>
      <c r="CN203" s="409"/>
      <c r="CO203" s="409">
        <v>-766.76289999999995</v>
      </c>
      <c r="CP203" s="409">
        <v>74.067300000000074</v>
      </c>
      <c r="CQ203" s="409">
        <v>30</v>
      </c>
      <c r="CR203" s="409">
        <v>130.22032046001414</v>
      </c>
      <c r="CS203" s="409">
        <v>0</v>
      </c>
      <c r="CT203" s="409">
        <v>0</v>
      </c>
      <c r="CU203" s="409">
        <v>0</v>
      </c>
      <c r="CV203" s="409">
        <v>0</v>
      </c>
      <c r="CW203" s="409">
        <v>0</v>
      </c>
      <c r="CX203" s="409">
        <v>0</v>
      </c>
      <c r="CY203" s="409">
        <v>0</v>
      </c>
      <c r="CZ203" s="409">
        <v>38.46500950670611</v>
      </c>
      <c r="DA203" s="409">
        <v>0</v>
      </c>
      <c r="DB203" s="409">
        <v>0</v>
      </c>
      <c r="DC203" s="409">
        <v>97.614283889763101</v>
      </c>
      <c r="DD203" s="409">
        <v>0</v>
      </c>
      <c r="DE203" s="409">
        <v>0</v>
      </c>
      <c r="DF203" s="409">
        <v>0</v>
      </c>
      <c r="DG203" s="409">
        <v>13.242921544616991</v>
      </c>
      <c r="DH203" s="409">
        <v>0</v>
      </c>
      <c r="DI203" s="409">
        <v>-1.5887894007965997</v>
      </c>
      <c r="DJ203" s="409"/>
      <c r="DK203" s="409">
        <v>0</v>
      </c>
      <c r="DL203" s="409">
        <v>0</v>
      </c>
      <c r="DM203" s="409">
        <v>0</v>
      </c>
      <c r="DN203" s="409">
        <v>0</v>
      </c>
      <c r="DO203" s="409">
        <v>-0.49887614060554597</v>
      </c>
      <c r="DP203" s="409">
        <v>-0.88538851848794486</v>
      </c>
      <c r="DQ203" s="409">
        <v>0</v>
      </c>
      <c r="DR203" s="409">
        <v>-16.12884042118187</v>
      </c>
      <c r="DS203" s="409"/>
      <c r="DT203" s="409"/>
      <c r="DU203" s="409"/>
      <c r="DV203" s="409">
        <v>3589.8872842987694</v>
      </c>
      <c r="DW203" s="409">
        <v>0</v>
      </c>
      <c r="DX203" s="409">
        <v>0</v>
      </c>
      <c r="DY203" s="409">
        <v>-766.76290000000063</v>
      </c>
      <c r="DZ203" s="409">
        <v>74.067300000000159</v>
      </c>
      <c r="EA203" s="409">
        <v>0</v>
      </c>
      <c r="EB203" s="409">
        <v>0</v>
      </c>
      <c r="EC203" s="409">
        <v>-822.88657975179785</v>
      </c>
      <c r="ED203" s="409">
        <v>0</v>
      </c>
      <c r="EE203" s="409">
        <v>0</v>
      </c>
      <c r="EF203" s="409">
        <v>0</v>
      </c>
      <c r="EG203" s="409">
        <v>0</v>
      </c>
      <c r="EH203" s="409">
        <v>0</v>
      </c>
      <c r="EI203" s="409">
        <v>0</v>
      </c>
      <c r="EJ203" s="409">
        <v>0</v>
      </c>
      <c r="EK203" s="409">
        <v>0</v>
      </c>
      <c r="EL203" s="409">
        <v>0</v>
      </c>
      <c r="EM203" s="409">
        <v>0</v>
      </c>
      <c r="EN203" s="409">
        <v>0</v>
      </c>
      <c r="EO203" s="409">
        <v>0</v>
      </c>
      <c r="EP203" s="409">
        <v>0</v>
      </c>
      <c r="EQ203" s="409">
        <v>0</v>
      </c>
      <c r="ER203" s="409">
        <v>0</v>
      </c>
      <c r="ES203" s="409">
        <v>0</v>
      </c>
      <c r="ET203" s="409">
        <v>0</v>
      </c>
      <c r="EU203" s="409">
        <v>0</v>
      </c>
      <c r="EV203" s="409">
        <v>254</v>
      </c>
      <c r="EW203" s="409">
        <v>0</v>
      </c>
      <c r="EX203" s="409">
        <v>0</v>
      </c>
      <c r="EY203" s="409">
        <v>0</v>
      </c>
      <c r="EZ203" s="409"/>
      <c r="FA203" s="409">
        <v>0</v>
      </c>
      <c r="FB203" s="409"/>
      <c r="FC203" s="409"/>
      <c r="FD203" s="409"/>
      <c r="FE203" s="409"/>
      <c r="FF203" s="409">
        <v>0</v>
      </c>
      <c r="FG203" s="409">
        <v>0</v>
      </c>
      <c r="FH203" s="409">
        <v>0</v>
      </c>
      <c r="FI203" s="409">
        <v>0</v>
      </c>
    </row>
    <row r="204" spans="1:165">
      <c r="A204" s="409">
        <v>202</v>
      </c>
      <c r="B204" s="409" t="s">
        <v>1035</v>
      </c>
      <c r="C204" s="409" t="s">
        <v>2244</v>
      </c>
      <c r="D204" s="409" t="s">
        <v>2254</v>
      </c>
      <c r="E204" s="409" t="s">
        <v>973</v>
      </c>
      <c r="F204" s="409" t="s">
        <v>2261</v>
      </c>
      <c r="G204" s="409" t="s">
        <v>2263</v>
      </c>
      <c r="H204" s="409" t="s">
        <v>1323</v>
      </c>
      <c r="I204" s="409" t="s">
        <v>1323</v>
      </c>
      <c r="J204" s="409" t="s">
        <v>2245</v>
      </c>
      <c r="K204" s="835">
        <v>44501</v>
      </c>
      <c r="L204" s="409">
        <v>0</v>
      </c>
      <c r="M204" s="409">
        <v>0</v>
      </c>
      <c r="N204" s="409">
        <v>6.0309999999999997</v>
      </c>
      <c r="O204" s="409">
        <v>1.6283700000000001</v>
      </c>
      <c r="P204" s="409">
        <v>6.0309999999999997</v>
      </c>
      <c r="Q204" s="409">
        <v>1.6283700000000001</v>
      </c>
      <c r="R204" s="409"/>
      <c r="S204" s="409">
        <v>597.01</v>
      </c>
      <c r="T204" s="409">
        <v>243.39</v>
      </c>
      <c r="U204" s="409"/>
      <c r="V204" s="409">
        <v>5068.4524000000001</v>
      </c>
      <c r="W204" s="409">
        <v>5068.4524000000001</v>
      </c>
      <c r="X204" s="409">
        <v>4591.2796799999996</v>
      </c>
      <c r="Y204" s="409">
        <v>0</v>
      </c>
      <c r="Z204" s="409">
        <v>150.07225259260673</v>
      </c>
      <c r="AA204" s="409">
        <v>0</v>
      </c>
      <c r="AB204" s="409">
        <v>0</v>
      </c>
      <c r="AC204" s="409">
        <v>0</v>
      </c>
      <c r="AD204" s="409">
        <v>706.76725469266762</v>
      </c>
      <c r="AE204" s="409">
        <v>2472.9423428447603</v>
      </c>
      <c r="AF204" s="409">
        <v>1467.8684733963869</v>
      </c>
      <c r="AG204" s="409">
        <v>0</v>
      </c>
      <c r="AH204" s="409">
        <v>0</v>
      </c>
      <c r="AI204" s="409">
        <v>0</v>
      </c>
      <c r="AJ204" s="409">
        <v>0</v>
      </c>
      <c r="AK204" s="409">
        <v>0</v>
      </c>
      <c r="AL204" s="409">
        <v>61.269476768065793</v>
      </c>
      <c r="AM204" s="409"/>
      <c r="AN204" s="409">
        <v>10.354451534968073</v>
      </c>
      <c r="AO204" s="409">
        <v>0</v>
      </c>
      <c r="AP204" s="409">
        <v>0</v>
      </c>
      <c r="AQ204" s="409">
        <v>0</v>
      </c>
      <c r="AR204" s="409">
        <v>0</v>
      </c>
      <c r="AS204" s="409">
        <v>0</v>
      </c>
      <c r="AT204" s="409">
        <v>0</v>
      </c>
      <c r="AU204" s="409">
        <v>0</v>
      </c>
      <c r="AV204" s="409">
        <v>0</v>
      </c>
      <c r="AW204" s="409">
        <v>0</v>
      </c>
      <c r="AX204" s="409">
        <v>0</v>
      </c>
      <c r="AY204" s="409">
        <v>0</v>
      </c>
      <c r="AZ204" s="409">
        <v>0</v>
      </c>
      <c r="BA204" s="409"/>
      <c r="BB204" s="409">
        <v>0</v>
      </c>
      <c r="BC204" s="409">
        <v>0</v>
      </c>
      <c r="BD204" s="409">
        <v>0</v>
      </c>
      <c r="BE204" s="409">
        <v>0</v>
      </c>
      <c r="BF204" s="409">
        <v>0</v>
      </c>
      <c r="BG204" s="409">
        <v>199.1395752383778</v>
      </c>
      <c r="BH204" s="409">
        <v>0</v>
      </c>
      <c r="BI204" s="409">
        <v>0</v>
      </c>
      <c r="BJ204" s="409">
        <v>0</v>
      </c>
      <c r="BK204" s="409">
        <v>0</v>
      </c>
      <c r="BL204" s="409">
        <v>0</v>
      </c>
      <c r="BM204" s="409"/>
      <c r="BN204" s="409"/>
      <c r="BO204" s="409"/>
      <c r="BP204" s="409"/>
      <c r="BQ204" s="409"/>
      <c r="BR204" s="409"/>
      <c r="BS204" s="409">
        <v>3500.4020495999994</v>
      </c>
      <c r="BT204" s="409"/>
      <c r="BU204" s="409"/>
      <c r="BV204" s="409">
        <v>1667.0080486347647</v>
      </c>
      <c r="BW204" s="409"/>
      <c r="BX204" s="409"/>
      <c r="BY204" s="409"/>
      <c r="BZ204" s="409"/>
      <c r="CA204" s="409"/>
      <c r="CB204" s="409"/>
      <c r="CC204" s="409"/>
      <c r="CD204" s="409"/>
      <c r="CE204" s="409"/>
      <c r="CF204" s="409"/>
      <c r="CG204" s="409"/>
      <c r="CH204" s="409"/>
      <c r="CI204" s="409">
        <v>1091.9695999999999</v>
      </c>
      <c r="CJ204" s="409">
        <v>-112.32143350000024</v>
      </c>
      <c r="CK204" s="409"/>
      <c r="CL204" s="409"/>
      <c r="CM204" s="409"/>
      <c r="CN204" s="409"/>
      <c r="CO204" s="409">
        <v>-528.19497999999987</v>
      </c>
      <c r="CP204" s="409">
        <v>51.022260000000045</v>
      </c>
      <c r="CQ204" s="409">
        <v>30</v>
      </c>
      <c r="CR204" s="409">
        <v>89.704026578451703</v>
      </c>
      <c r="CS204" s="409">
        <v>0</v>
      </c>
      <c r="CT204" s="409">
        <v>0</v>
      </c>
      <c r="CU204" s="409">
        <v>0</v>
      </c>
      <c r="CV204" s="409">
        <v>0</v>
      </c>
      <c r="CW204" s="409">
        <v>0</v>
      </c>
      <c r="CX204" s="409">
        <v>0</v>
      </c>
      <c r="CY204" s="409">
        <v>0</v>
      </c>
      <c r="CZ204" s="409">
        <v>26.497141328948487</v>
      </c>
      <c r="DA204" s="409">
        <v>0</v>
      </c>
      <c r="DB204" s="409">
        <v>0</v>
      </c>
      <c r="DC204" s="409">
        <v>67.242917891394882</v>
      </c>
      <c r="DD204" s="409">
        <v>0</v>
      </c>
      <c r="DE204" s="409">
        <v>0</v>
      </c>
      <c r="DF204" s="409">
        <v>0</v>
      </c>
      <c r="DG204" s="409">
        <v>9.1225653724254698</v>
      </c>
      <c r="DH204" s="409">
        <v>0</v>
      </c>
      <c r="DI204" s="409">
        <v>-1.0944590378303189</v>
      </c>
      <c r="DJ204" s="409"/>
      <c r="DK204" s="409">
        <v>0</v>
      </c>
      <c r="DL204" s="409">
        <v>0</v>
      </c>
      <c r="DM204" s="409">
        <v>0</v>
      </c>
      <c r="DN204" s="409">
        <v>0</v>
      </c>
      <c r="DO204" s="409">
        <v>-0.34365756756048427</v>
      </c>
      <c r="DP204" s="409">
        <v>-0.60991183952036465</v>
      </c>
      <c r="DQ204" s="409">
        <v>0</v>
      </c>
      <c r="DR204" s="409">
        <v>-11.110569569405806</v>
      </c>
      <c r="DS204" s="409"/>
      <c r="DT204" s="409"/>
      <c r="DU204" s="409"/>
      <c r="DV204" s="409">
        <v>2472.9423428447603</v>
      </c>
      <c r="DW204" s="409">
        <v>0</v>
      </c>
      <c r="DX204" s="409">
        <v>0</v>
      </c>
      <c r="DY204" s="409">
        <v>-528.19498000000021</v>
      </c>
      <c r="DZ204" s="409">
        <v>51.022260000000188</v>
      </c>
      <c r="EA204" s="409">
        <v>0</v>
      </c>
      <c r="EB204" s="409">
        <v>0</v>
      </c>
      <c r="EC204" s="409">
        <v>-566.85653483530473</v>
      </c>
      <c r="ED204" s="409">
        <v>0</v>
      </c>
      <c r="EE204" s="409">
        <v>0</v>
      </c>
      <c r="EF204" s="409">
        <v>0</v>
      </c>
      <c r="EG204" s="409">
        <v>0</v>
      </c>
      <c r="EH204" s="409">
        <v>0</v>
      </c>
      <c r="EI204" s="409">
        <v>0</v>
      </c>
      <c r="EJ204" s="409">
        <v>0</v>
      </c>
      <c r="EK204" s="409">
        <v>0</v>
      </c>
      <c r="EL204" s="409">
        <v>0</v>
      </c>
      <c r="EM204" s="409">
        <v>0</v>
      </c>
      <c r="EN204" s="409">
        <v>0</v>
      </c>
      <c r="EO204" s="409">
        <v>0</v>
      </c>
      <c r="EP204" s="409">
        <v>0</v>
      </c>
      <c r="EQ204" s="409">
        <v>0</v>
      </c>
      <c r="ER204" s="409">
        <v>0</v>
      </c>
      <c r="ES204" s="409">
        <v>0</v>
      </c>
      <c r="ET204" s="409">
        <v>0</v>
      </c>
      <c r="EU204" s="409">
        <v>0</v>
      </c>
      <c r="EV204" s="409">
        <v>254</v>
      </c>
      <c r="EW204" s="409">
        <v>0</v>
      </c>
      <c r="EX204" s="409">
        <v>0</v>
      </c>
      <c r="EY204" s="409">
        <v>0</v>
      </c>
      <c r="EZ204" s="409"/>
      <c r="FA204" s="409">
        <v>0</v>
      </c>
      <c r="FB204" s="409"/>
      <c r="FC204" s="409"/>
      <c r="FD204" s="409"/>
      <c r="FE204" s="409"/>
      <c r="FF204" s="409">
        <v>0</v>
      </c>
      <c r="FG204" s="409">
        <v>0</v>
      </c>
      <c r="FH204" s="409">
        <v>0</v>
      </c>
      <c r="FI204" s="409">
        <v>0</v>
      </c>
    </row>
    <row r="205" spans="1:165">
      <c r="A205" s="409">
        <v>203</v>
      </c>
      <c r="B205" s="409" t="s">
        <v>1035</v>
      </c>
      <c r="C205" s="409" t="s">
        <v>2244</v>
      </c>
      <c r="D205" s="409" t="s">
        <v>1991</v>
      </c>
      <c r="E205" s="409" t="s">
        <v>968</v>
      </c>
      <c r="F205" s="409" t="s">
        <v>968</v>
      </c>
      <c r="G205" s="409" t="s">
        <v>1323</v>
      </c>
      <c r="H205" s="409" t="s">
        <v>1323</v>
      </c>
      <c r="I205" s="409" t="s">
        <v>1323</v>
      </c>
      <c r="J205" s="409" t="s">
        <v>2245</v>
      </c>
      <c r="K205" s="835">
        <v>44531</v>
      </c>
      <c r="L205" s="409">
        <v>0</v>
      </c>
      <c r="M205" s="409">
        <v>0</v>
      </c>
      <c r="N205" s="409">
        <v>219.06200000000001</v>
      </c>
      <c r="O205" s="409">
        <v>219.06200000000001</v>
      </c>
      <c r="P205" s="409">
        <v>219.06200000000001</v>
      </c>
      <c r="Q205" s="409">
        <v>219.06200000000001</v>
      </c>
      <c r="R205" s="409"/>
      <c r="S205" s="409">
        <v>597.01</v>
      </c>
      <c r="T205" s="409">
        <v>243.39</v>
      </c>
      <c r="U205" s="409"/>
      <c r="V205" s="409">
        <v>184099.70480000001</v>
      </c>
      <c r="W205" s="409">
        <v>184099.70480000001</v>
      </c>
      <c r="X205" s="409">
        <v>166767.51936000001</v>
      </c>
      <c r="Y205" s="409">
        <v>0</v>
      </c>
      <c r="Z205" s="409">
        <v>5451.0243404811172</v>
      </c>
      <c r="AA205" s="409">
        <v>0</v>
      </c>
      <c r="AB205" s="409">
        <v>0</v>
      </c>
      <c r="AC205" s="409">
        <v>0</v>
      </c>
      <c r="AD205" s="409">
        <v>25671.671090612694</v>
      </c>
      <c r="AE205" s="409">
        <v>89823.859311599881</v>
      </c>
      <c r="AF205" s="409">
        <v>53316.896620653184</v>
      </c>
      <c r="AG205" s="409">
        <v>0</v>
      </c>
      <c r="AH205" s="409">
        <v>0</v>
      </c>
      <c r="AI205" s="409">
        <v>0</v>
      </c>
      <c r="AJ205" s="409">
        <v>0</v>
      </c>
      <c r="AK205" s="409">
        <v>0</v>
      </c>
      <c r="AL205" s="409">
        <v>2225.4707543966224</v>
      </c>
      <c r="AM205" s="409"/>
      <c r="AN205" s="409">
        <v>376.10128704247654</v>
      </c>
      <c r="AO205" s="409">
        <v>0</v>
      </c>
      <c r="AP205" s="409">
        <v>0</v>
      </c>
      <c r="AQ205" s="409">
        <v>0</v>
      </c>
      <c r="AR205" s="409">
        <v>0</v>
      </c>
      <c r="AS205" s="409">
        <v>0</v>
      </c>
      <c r="AT205" s="409">
        <v>0</v>
      </c>
      <c r="AU205" s="409">
        <v>0</v>
      </c>
      <c r="AV205" s="409">
        <v>0</v>
      </c>
      <c r="AW205" s="409">
        <v>0</v>
      </c>
      <c r="AX205" s="409">
        <v>0</v>
      </c>
      <c r="AY205" s="409">
        <v>0</v>
      </c>
      <c r="AZ205" s="409">
        <v>0</v>
      </c>
      <c r="BA205" s="409"/>
      <c r="BB205" s="409">
        <v>0</v>
      </c>
      <c r="BC205" s="409">
        <v>0</v>
      </c>
      <c r="BD205" s="409">
        <v>0</v>
      </c>
      <c r="BE205" s="409">
        <v>0</v>
      </c>
      <c r="BF205" s="409">
        <v>0</v>
      </c>
      <c r="BG205" s="409">
        <v>7233.2803234736402</v>
      </c>
      <c r="BH205" s="409">
        <v>0</v>
      </c>
      <c r="BI205" s="409">
        <v>50.85</v>
      </c>
      <c r="BJ205" s="409">
        <v>235.48</v>
      </c>
      <c r="BK205" s="409">
        <v>1755.97</v>
      </c>
      <c r="BL205" s="409">
        <v>1995</v>
      </c>
      <c r="BM205" s="409"/>
      <c r="BN205" s="409"/>
      <c r="BO205" s="409"/>
      <c r="BP205" s="409"/>
      <c r="BQ205" s="409"/>
      <c r="BR205" s="409"/>
      <c r="BS205" s="409"/>
      <c r="BT205" s="409"/>
      <c r="BU205" s="409"/>
      <c r="BV205" s="409">
        <v>60550.176944126826</v>
      </c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I205" s="409">
        <v>166765.99680000002</v>
      </c>
      <c r="CJ205" s="409">
        <v>-17333.737999999983</v>
      </c>
      <c r="CK205" s="409"/>
      <c r="CL205" s="409"/>
      <c r="CM205" s="409"/>
      <c r="CN205" s="409"/>
      <c r="CO205" s="409">
        <v>-19185.449959999998</v>
      </c>
      <c r="CP205" s="409">
        <v>1853.2645200000018</v>
      </c>
      <c r="CQ205" s="409"/>
      <c r="CR205" s="409">
        <v>3258.2894164033787</v>
      </c>
      <c r="CS205" s="409">
        <v>0</v>
      </c>
      <c r="CT205" s="409">
        <v>0</v>
      </c>
      <c r="CU205" s="409">
        <v>0</v>
      </c>
      <c r="CV205" s="409">
        <v>0</v>
      </c>
      <c r="CW205" s="409">
        <v>0</v>
      </c>
      <c r="CX205" s="409">
        <v>0</v>
      </c>
      <c r="CY205" s="409">
        <v>0</v>
      </c>
      <c r="CZ205" s="409">
        <v>962.44682039498002</v>
      </c>
      <c r="DA205" s="409">
        <v>0</v>
      </c>
      <c r="DB205" s="409">
        <v>0</v>
      </c>
      <c r="DC205" s="409">
        <v>2442.4420625310377</v>
      </c>
      <c r="DD205" s="409">
        <v>0</v>
      </c>
      <c r="DE205" s="409">
        <v>0</v>
      </c>
      <c r="DF205" s="409">
        <v>0</v>
      </c>
      <c r="DG205" s="409">
        <v>331.35589713385343</v>
      </c>
      <c r="DH205" s="409">
        <v>0</v>
      </c>
      <c r="DI205" s="409">
        <v>-39.753670327505461</v>
      </c>
      <c r="DJ205" s="409"/>
      <c r="DK205" s="409">
        <v>0</v>
      </c>
      <c r="DL205" s="409">
        <v>0</v>
      </c>
      <c r="DM205" s="409">
        <v>0</v>
      </c>
      <c r="DN205" s="409">
        <v>0</v>
      </c>
      <c r="DO205" s="409">
        <v>-12.482559122025123</v>
      </c>
      <c r="DP205" s="409">
        <v>-22.153624173273101</v>
      </c>
      <c r="DQ205" s="409">
        <v>0</v>
      </c>
      <c r="DR205" s="409">
        <v>-403.56551003368844</v>
      </c>
      <c r="DS205" s="409"/>
      <c r="DT205" s="409"/>
      <c r="DU205" s="409"/>
      <c r="DV205" s="409">
        <v>89823.859311599881</v>
      </c>
      <c r="DW205" s="409">
        <v>0</v>
      </c>
      <c r="DX205" s="409">
        <v>0</v>
      </c>
      <c r="DY205" s="409">
        <v>-19185.449959999998</v>
      </c>
      <c r="DZ205" s="409">
        <v>1853.264519999997</v>
      </c>
      <c r="EA205" s="409">
        <v>0</v>
      </c>
      <c r="EB205" s="409">
        <v>0</v>
      </c>
      <c r="EC205" s="409">
        <v>-20589.740712003229</v>
      </c>
      <c r="ED205" s="409">
        <v>0</v>
      </c>
      <c r="EE205" s="409">
        <v>0</v>
      </c>
      <c r="EF205" s="409">
        <v>0</v>
      </c>
      <c r="EG205" s="409">
        <v>0</v>
      </c>
      <c r="EH205" s="409">
        <v>0</v>
      </c>
      <c r="EI205" s="409">
        <v>0</v>
      </c>
      <c r="EJ205" s="409">
        <v>0</v>
      </c>
      <c r="EK205" s="409">
        <v>0</v>
      </c>
      <c r="EL205" s="409">
        <v>0</v>
      </c>
      <c r="EM205" s="409">
        <v>0</v>
      </c>
      <c r="EN205" s="409">
        <v>0</v>
      </c>
      <c r="EO205" s="409">
        <v>0</v>
      </c>
      <c r="EP205" s="409">
        <v>0</v>
      </c>
      <c r="EQ205" s="409">
        <v>0</v>
      </c>
      <c r="ER205" s="409">
        <v>0</v>
      </c>
      <c r="ES205" s="409">
        <v>0</v>
      </c>
      <c r="ET205" s="409">
        <v>0</v>
      </c>
      <c r="EU205" s="409">
        <v>0</v>
      </c>
      <c r="EV205" s="409">
        <v>254</v>
      </c>
      <c r="EW205" s="409">
        <v>0</v>
      </c>
      <c r="EX205" s="409">
        <v>0</v>
      </c>
      <c r="EY205" s="409">
        <v>0</v>
      </c>
      <c r="EZ205" s="409"/>
      <c r="FA205" s="409">
        <v>0</v>
      </c>
      <c r="FB205" s="409"/>
      <c r="FC205" s="409"/>
      <c r="FD205" s="409"/>
      <c r="FE205" s="409"/>
      <c r="FF205" s="409">
        <v>0</v>
      </c>
      <c r="FG205" s="409">
        <v>0</v>
      </c>
      <c r="FH205" s="409">
        <v>0</v>
      </c>
      <c r="FI205" s="409">
        <v>0</v>
      </c>
    </row>
    <row r="206" spans="1:165">
      <c r="A206" s="409">
        <v>204</v>
      </c>
      <c r="B206" s="409" t="s">
        <v>2246</v>
      </c>
      <c r="C206" s="409" t="s">
        <v>2244</v>
      </c>
      <c r="D206" s="409" t="s">
        <v>1991</v>
      </c>
      <c r="E206" s="409" t="s">
        <v>968</v>
      </c>
      <c r="F206" s="409" t="s">
        <v>968</v>
      </c>
      <c r="G206" s="409" t="s">
        <v>1323</v>
      </c>
      <c r="H206" s="409" t="s">
        <v>1323</v>
      </c>
      <c r="I206" s="409" t="s">
        <v>1323</v>
      </c>
      <c r="J206" s="409" t="s">
        <v>2245</v>
      </c>
      <c r="K206" s="835">
        <v>44531</v>
      </c>
      <c r="L206" s="409">
        <v>0</v>
      </c>
      <c r="M206" s="409">
        <v>0</v>
      </c>
      <c r="N206" s="409">
        <v>3.6640000000000001</v>
      </c>
      <c r="O206" s="409">
        <v>3.6640000000000001</v>
      </c>
      <c r="P206" s="409">
        <v>3.6640000000000001</v>
      </c>
      <c r="Q206" s="409">
        <v>3.6640000000000001</v>
      </c>
      <c r="R206" s="409"/>
      <c r="S206" s="409">
        <v>597.01</v>
      </c>
      <c r="T206" s="409">
        <v>243.39</v>
      </c>
      <c r="U206" s="409"/>
      <c r="V206" s="409">
        <v>3079.2256000000002</v>
      </c>
      <c r="W206" s="409">
        <v>3079.2256000000002</v>
      </c>
      <c r="X206" s="409">
        <v>2789.3299200000001</v>
      </c>
      <c r="Y206" s="409">
        <v>0</v>
      </c>
      <c r="Z206" s="409">
        <v>91.173061432484019</v>
      </c>
      <c r="AA206" s="409">
        <v>0</v>
      </c>
      <c r="AB206" s="409">
        <v>0</v>
      </c>
      <c r="AC206" s="409">
        <v>0</v>
      </c>
      <c r="AD206" s="409">
        <v>429.38073639428524</v>
      </c>
      <c r="AE206" s="409">
        <v>1502.3811547310897</v>
      </c>
      <c r="AF206" s="409">
        <v>891.77086495180936</v>
      </c>
      <c r="AG206" s="409">
        <v>0</v>
      </c>
      <c r="AH206" s="409">
        <v>0</v>
      </c>
      <c r="AI206" s="409">
        <v>0</v>
      </c>
      <c r="AJ206" s="409">
        <v>0</v>
      </c>
      <c r="AK206" s="409">
        <v>0</v>
      </c>
      <c r="AL206" s="409">
        <v>37.222908784313233</v>
      </c>
      <c r="AM206" s="409"/>
      <c r="AN206" s="409">
        <v>6.2906168834559812</v>
      </c>
      <c r="AO206" s="409">
        <v>0</v>
      </c>
      <c r="AP206" s="409">
        <v>0</v>
      </c>
      <c r="AQ206" s="409">
        <v>0</v>
      </c>
      <c r="AR206" s="409">
        <v>0</v>
      </c>
      <c r="AS206" s="409">
        <v>0</v>
      </c>
      <c r="AT206" s="409">
        <v>0</v>
      </c>
      <c r="AU206" s="409">
        <v>0</v>
      </c>
      <c r="AV206" s="409">
        <v>0</v>
      </c>
      <c r="AW206" s="409">
        <v>0</v>
      </c>
      <c r="AX206" s="409">
        <v>0</v>
      </c>
      <c r="AY206" s="409">
        <v>0</v>
      </c>
      <c r="AZ206" s="409">
        <v>0</v>
      </c>
      <c r="BA206" s="409"/>
      <c r="BB206" s="409">
        <v>0</v>
      </c>
      <c r="BC206" s="409">
        <v>0</v>
      </c>
      <c r="BD206" s="409">
        <v>0</v>
      </c>
      <c r="BE206" s="409">
        <v>0</v>
      </c>
      <c r="BF206" s="409">
        <v>0</v>
      </c>
      <c r="BG206" s="409">
        <v>120.98282269497867</v>
      </c>
      <c r="BH206" s="409">
        <v>0</v>
      </c>
      <c r="BI206" s="409">
        <v>0</v>
      </c>
      <c r="BJ206" s="409">
        <v>0</v>
      </c>
      <c r="BK206" s="409">
        <v>0</v>
      </c>
      <c r="BL206" s="409">
        <v>14</v>
      </c>
      <c r="BM206" s="409"/>
      <c r="BN206" s="409"/>
      <c r="BO206" s="409"/>
      <c r="BP206" s="409"/>
      <c r="BQ206" s="409"/>
      <c r="BR206" s="409"/>
      <c r="BS206" s="409"/>
      <c r="BT206" s="409"/>
      <c r="BU206" s="409"/>
      <c r="BV206" s="409">
        <v>1012.753687646788</v>
      </c>
      <c r="BW206" s="409"/>
      <c r="BX206" s="409"/>
      <c r="BY206" s="409"/>
      <c r="BZ206" s="409"/>
      <c r="CA206" s="409"/>
      <c r="CB206" s="409"/>
      <c r="CC206" s="409"/>
      <c r="CD206" s="409"/>
      <c r="CE206" s="409"/>
      <c r="CF206" s="409"/>
      <c r="CG206" s="409"/>
      <c r="CH206" s="409"/>
      <c r="CI206" s="409">
        <v>2786.2848000000004</v>
      </c>
      <c r="CJ206" s="409">
        <v>-292.97080000000051</v>
      </c>
      <c r="CK206" s="409"/>
      <c r="CL206" s="409"/>
      <c r="CM206" s="409"/>
      <c r="CN206" s="409"/>
      <c r="CO206" s="409">
        <v>-320.89311999999995</v>
      </c>
      <c r="CP206" s="409">
        <v>30.997440000000029</v>
      </c>
      <c r="CQ206" s="409"/>
      <c r="CR206" s="409">
        <v>54.49768751176407</v>
      </c>
      <c r="CS206" s="409">
        <v>0</v>
      </c>
      <c r="CT206" s="409">
        <v>0</v>
      </c>
      <c r="CU206" s="409">
        <v>0</v>
      </c>
      <c r="CV206" s="409">
        <v>0</v>
      </c>
      <c r="CW206" s="409">
        <v>0</v>
      </c>
      <c r="CX206" s="409">
        <v>0</v>
      </c>
      <c r="CY206" s="409">
        <v>0</v>
      </c>
      <c r="CZ206" s="409">
        <v>16.097749266998392</v>
      </c>
      <c r="DA206" s="409">
        <v>0</v>
      </c>
      <c r="DB206" s="409">
        <v>0</v>
      </c>
      <c r="DC206" s="409">
        <v>40.85194016814296</v>
      </c>
      <c r="DD206" s="409">
        <v>0</v>
      </c>
      <c r="DE206" s="409">
        <v>0</v>
      </c>
      <c r="DF206" s="409">
        <v>0</v>
      </c>
      <c r="DG206" s="409">
        <v>5.5422118263251434</v>
      </c>
      <c r="DH206" s="409">
        <v>0</v>
      </c>
      <c r="DI206" s="409">
        <v>-0.66491426208096982</v>
      </c>
      <c r="DJ206" s="409"/>
      <c r="DK206" s="409">
        <v>0</v>
      </c>
      <c r="DL206" s="409">
        <v>0</v>
      </c>
      <c r="DM206" s="409">
        <v>0</v>
      </c>
      <c r="DN206" s="409">
        <v>0</v>
      </c>
      <c r="DO206" s="409">
        <v>-0.20878151675371015</v>
      </c>
      <c r="DP206" s="409">
        <v>-0.3705383816950123</v>
      </c>
      <c r="DQ206" s="409">
        <v>0</v>
      </c>
      <c r="DR206" s="409">
        <v>-6.7499795891730869</v>
      </c>
      <c r="DS206" s="409"/>
      <c r="DT206" s="409"/>
      <c r="DU206" s="409"/>
      <c r="DV206" s="409">
        <v>1502.3811547310897</v>
      </c>
      <c r="DW206" s="409">
        <v>0</v>
      </c>
      <c r="DX206" s="409">
        <v>0</v>
      </c>
      <c r="DY206" s="409">
        <v>-320.89311999999995</v>
      </c>
      <c r="DZ206" s="409">
        <v>30.997440000000097</v>
      </c>
      <c r="EA206" s="409">
        <v>0</v>
      </c>
      <c r="EB206" s="409">
        <v>0</v>
      </c>
      <c r="EC206" s="409">
        <v>-344.38108831645764</v>
      </c>
      <c r="ED206" s="409">
        <v>0</v>
      </c>
      <c r="EE206" s="409">
        <v>0</v>
      </c>
      <c r="EF206" s="409">
        <v>0</v>
      </c>
      <c r="EG206" s="409">
        <v>0</v>
      </c>
      <c r="EH206" s="409">
        <v>0</v>
      </c>
      <c r="EI206" s="409">
        <v>0</v>
      </c>
      <c r="EJ206" s="409">
        <v>0</v>
      </c>
      <c r="EK206" s="409">
        <v>0</v>
      </c>
      <c r="EL206" s="409">
        <v>0</v>
      </c>
      <c r="EM206" s="409">
        <v>0</v>
      </c>
      <c r="EN206" s="409">
        <v>0</v>
      </c>
      <c r="EO206" s="409">
        <v>0</v>
      </c>
      <c r="EP206" s="409">
        <v>0</v>
      </c>
      <c r="EQ206" s="409">
        <v>0</v>
      </c>
      <c r="ER206" s="409">
        <v>0</v>
      </c>
      <c r="ES206" s="409">
        <v>0</v>
      </c>
      <c r="ET206" s="409">
        <v>0</v>
      </c>
      <c r="EU206" s="409">
        <v>0</v>
      </c>
      <c r="EV206" s="409">
        <v>254</v>
      </c>
      <c r="EW206" s="409">
        <v>0</v>
      </c>
      <c r="EX206" s="409">
        <v>0</v>
      </c>
      <c r="EY206" s="409">
        <v>0</v>
      </c>
      <c r="EZ206" s="409"/>
      <c r="FA206" s="409">
        <v>0</v>
      </c>
      <c r="FB206" s="409"/>
      <c r="FC206" s="409"/>
      <c r="FD206" s="409"/>
      <c r="FE206" s="409"/>
      <c r="FF206" s="409">
        <v>0</v>
      </c>
      <c r="FG206" s="409">
        <v>0</v>
      </c>
      <c r="FH206" s="409">
        <v>0</v>
      </c>
      <c r="FI206" s="409">
        <v>0</v>
      </c>
    </row>
    <row r="207" spans="1:165">
      <c r="A207" s="409">
        <v>205</v>
      </c>
      <c r="B207" s="409" t="s">
        <v>1035</v>
      </c>
      <c r="C207" s="409" t="s">
        <v>2244</v>
      </c>
      <c r="D207" s="409" t="s">
        <v>1991</v>
      </c>
      <c r="E207" s="409" t="s">
        <v>968</v>
      </c>
      <c r="F207" s="409" t="s">
        <v>2247</v>
      </c>
      <c r="G207" s="409" t="s">
        <v>1323</v>
      </c>
      <c r="H207" s="409" t="s">
        <v>1323</v>
      </c>
      <c r="I207" s="409" t="s">
        <v>1323</v>
      </c>
      <c r="J207" s="409" t="s">
        <v>2245</v>
      </c>
      <c r="K207" s="835">
        <v>44531</v>
      </c>
      <c r="L207" s="409">
        <v>0</v>
      </c>
      <c r="M207" s="409">
        <v>0</v>
      </c>
      <c r="N207" s="409">
        <v>64.77</v>
      </c>
      <c r="O207" s="409">
        <v>64.77</v>
      </c>
      <c r="P207" s="409">
        <v>64.77</v>
      </c>
      <c r="Q207" s="409">
        <v>64.77</v>
      </c>
      <c r="R207" s="409"/>
      <c r="S207" s="409">
        <v>561.96</v>
      </c>
      <c r="T207" s="409">
        <v>243.39</v>
      </c>
      <c r="U207" s="409"/>
      <c r="V207" s="409">
        <v>52162.519499999995</v>
      </c>
      <c r="W207" s="409">
        <v>52162.519499999995</v>
      </c>
      <c r="X207" s="409">
        <v>47050.223399999995</v>
      </c>
      <c r="Y207" s="409">
        <v>0</v>
      </c>
      <c r="Z207" s="409">
        <v>0</v>
      </c>
      <c r="AA207" s="409">
        <v>0</v>
      </c>
      <c r="AB207" s="409">
        <v>0</v>
      </c>
      <c r="AC207" s="409">
        <v>0</v>
      </c>
      <c r="AD207" s="409">
        <v>7590.3357795463571</v>
      </c>
      <c r="AE207" s="409">
        <v>26558.195248889922</v>
      </c>
      <c r="AF207" s="409">
        <v>15764.191845777479</v>
      </c>
      <c r="AG207" s="409">
        <v>0</v>
      </c>
      <c r="AH207" s="409">
        <v>0</v>
      </c>
      <c r="AI207" s="409">
        <v>0</v>
      </c>
      <c r="AJ207" s="409">
        <v>0</v>
      </c>
      <c r="AK207" s="409">
        <v>0</v>
      </c>
      <c r="AL207" s="409">
        <v>0</v>
      </c>
      <c r="AM207" s="409"/>
      <c r="AN207" s="409">
        <v>111.20176188358184</v>
      </c>
      <c r="AO207" s="409">
        <v>0</v>
      </c>
      <c r="AP207" s="409">
        <v>0</v>
      </c>
      <c r="AQ207" s="409">
        <v>0</v>
      </c>
      <c r="AR207" s="409">
        <v>0</v>
      </c>
      <c r="AS207" s="409">
        <v>0</v>
      </c>
      <c r="AT207" s="409">
        <v>0</v>
      </c>
      <c r="AU207" s="409">
        <v>0</v>
      </c>
      <c r="AV207" s="409">
        <v>0</v>
      </c>
      <c r="AW207" s="409">
        <v>0</v>
      </c>
      <c r="AX207" s="409">
        <v>0</v>
      </c>
      <c r="AY207" s="409">
        <v>0</v>
      </c>
      <c r="AZ207" s="409">
        <v>0</v>
      </c>
      <c r="BA207" s="409"/>
      <c r="BB207" s="409">
        <v>0</v>
      </c>
      <c r="BC207" s="409">
        <v>0</v>
      </c>
      <c r="BD207" s="409">
        <v>0</v>
      </c>
      <c r="BE207" s="409">
        <v>0</v>
      </c>
      <c r="BF207" s="409">
        <v>0</v>
      </c>
      <c r="BG207" s="409">
        <v>2138.6619612319237</v>
      </c>
      <c r="BH207" s="409">
        <v>0</v>
      </c>
      <c r="BI207" s="409">
        <v>0</v>
      </c>
      <c r="BJ207" s="409">
        <v>0</v>
      </c>
      <c r="BK207" s="409">
        <v>0</v>
      </c>
      <c r="BL207" s="409">
        <v>151</v>
      </c>
      <c r="BM207" s="409"/>
      <c r="BN207" s="409"/>
      <c r="BO207" s="409"/>
      <c r="BP207" s="409"/>
      <c r="BQ207" s="409"/>
      <c r="BR207" s="409"/>
      <c r="BS207" s="409"/>
      <c r="BT207" s="409">
        <v>30582.4509</v>
      </c>
      <c r="BU207" s="409"/>
      <c r="BV207" s="409">
        <v>17902.853807009404</v>
      </c>
      <c r="BW207" s="409"/>
      <c r="BX207" s="409"/>
      <c r="BY207" s="409"/>
      <c r="BZ207" s="409"/>
      <c r="CA207" s="409"/>
      <c r="CB207" s="409"/>
      <c r="CC207" s="409"/>
      <c r="CD207" s="409"/>
      <c r="CE207" s="409"/>
      <c r="CF207" s="409"/>
      <c r="CG207" s="409"/>
      <c r="CH207" s="409"/>
      <c r="CI207" s="409">
        <v>16467.772499999999</v>
      </c>
      <c r="CJ207" s="409">
        <v>-1789.6250999999975</v>
      </c>
      <c r="CK207" s="409"/>
      <c r="CL207" s="409"/>
      <c r="CM207" s="409"/>
      <c r="CN207" s="409"/>
      <c r="CO207" s="409">
        <v>-5660.2503000000024</v>
      </c>
      <c r="CP207" s="409">
        <v>547.95420000000047</v>
      </c>
      <c r="CQ207" s="409"/>
      <c r="CR207" s="409">
        <v>975.61793413326814</v>
      </c>
      <c r="CS207" s="409">
        <v>0</v>
      </c>
      <c r="CT207" s="409">
        <v>0</v>
      </c>
      <c r="CU207" s="409">
        <v>0</v>
      </c>
      <c r="CV207" s="409">
        <v>0</v>
      </c>
      <c r="CW207" s="409">
        <v>0</v>
      </c>
      <c r="CX207" s="409">
        <v>0</v>
      </c>
      <c r="CY207" s="409">
        <v>0</v>
      </c>
      <c r="CZ207" s="409">
        <v>284.56638101077715</v>
      </c>
      <c r="DA207" s="409">
        <v>0</v>
      </c>
      <c r="DB207" s="409">
        <v>0</v>
      </c>
      <c r="DC207" s="409">
        <v>722.15615848543348</v>
      </c>
      <c r="DD207" s="409">
        <v>0</v>
      </c>
      <c r="DE207" s="409">
        <v>0</v>
      </c>
      <c r="DF207" s="409">
        <v>0</v>
      </c>
      <c r="DG207" s="409">
        <v>97.971905019399401</v>
      </c>
      <c r="DH207" s="409">
        <v>0</v>
      </c>
      <c r="DI207" s="409">
        <v>0</v>
      </c>
      <c r="DJ207" s="409"/>
      <c r="DK207" s="409">
        <v>0</v>
      </c>
      <c r="DL207" s="409">
        <v>0</v>
      </c>
      <c r="DM207" s="409">
        <v>0</v>
      </c>
      <c r="DN207" s="409">
        <v>0</v>
      </c>
      <c r="DO207" s="409">
        <v>0</v>
      </c>
      <c r="DP207" s="409">
        <v>-6.5501558358040199</v>
      </c>
      <c r="DQ207" s="409">
        <v>0</v>
      </c>
      <c r="DR207" s="409">
        <v>-122.52635454653723</v>
      </c>
      <c r="DS207" s="409"/>
      <c r="DT207" s="409"/>
      <c r="DU207" s="409"/>
      <c r="DV207" s="409">
        <v>26558.195248889922</v>
      </c>
      <c r="DW207" s="409">
        <v>0</v>
      </c>
      <c r="DX207" s="409">
        <v>0</v>
      </c>
      <c r="DY207" s="409">
        <v>-5660.2503000000033</v>
      </c>
      <c r="DZ207" s="409">
        <v>547.95420000000013</v>
      </c>
      <c r="EA207" s="409">
        <v>0</v>
      </c>
      <c r="EB207" s="409">
        <v>0</v>
      </c>
      <c r="EC207" s="409">
        <v>-6087.7628521443694</v>
      </c>
      <c r="ED207" s="409">
        <v>0</v>
      </c>
      <c r="EE207" s="409">
        <v>0</v>
      </c>
      <c r="EF207" s="409">
        <v>0</v>
      </c>
      <c r="EG207" s="409">
        <v>0</v>
      </c>
      <c r="EH207" s="409">
        <v>0</v>
      </c>
      <c r="EI207" s="409">
        <v>0</v>
      </c>
      <c r="EJ207" s="409">
        <v>0</v>
      </c>
      <c r="EK207" s="409">
        <v>0</v>
      </c>
      <c r="EL207" s="409">
        <v>0</v>
      </c>
      <c r="EM207" s="409">
        <v>0</v>
      </c>
      <c r="EN207" s="409">
        <v>0</v>
      </c>
      <c r="EO207" s="409">
        <v>0</v>
      </c>
      <c r="EP207" s="409">
        <v>0</v>
      </c>
      <c r="EQ207" s="409">
        <v>0</v>
      </c>
      <c r="ER207" s="409">
        <v>0</v>
      </c>
      <c r="ES207" s="409">
        <v>0</v>
      </c>
      <c r="ET207" s="409">
        <v>0</v>
      </c>
      <c r="EU207" s="409">
        <v>0</v>
      </c>
      <c r="EV207" s="409">
        <v>254</v>
      </c>
      <c r="EW207" s="409">
        <v>0</v>
      </c>
      <c r="EX207" s="409">
        <v>0</v>
      </c>
      <c r="EY207" s="409">
        <v>0</v>
      </c>
      <c r="EZ207" s="409"/>
      <c r="FA207" s="409">
        <v>0</v>
      </c>
      <c r="FB207" s="409"/>
      <c r="FC207" s="409"/>
      <c r="FD207" s="409"/>
      <c r="FE207" s="409"/>
      <c r="FF207" s="409">
        <v>0</v>
      </c>
      <c r="FG207" s="409">
        <v>0</v>
      </c>
      <c r="FH207" s="409">
        <v>0</v>
      </c>
      <c r="FI207" s="409">
        <v>0</v>
      </c>
    </row>
    <row r="208" spans="1:165">
      <c r="A208" s="409">
        <v>206</v>
      </c>
      <c r="B208" s="409" t="s">
        <v>1035</v>
      </c>
      <c r="C208" s="409" t="s">
        <v>2244</v>
      </c>
      <c r="D208" s="409" t="s">
        <v>1991</v>
      </c>
      <c r="E208" s="409" t="s">
        <v>968</v>
      </c>
      <c r="F208" s="409" t="s">
        <v>2248</v>
      </c>
      <c r="G208" s="409" t="s">
        <v>1323</v>
      </c>
      <c r="H208" s="409" t="s">
        <v>1323</v>
      </c>
      <c r="I208" s="409" t="s">
        <v>1323</v>
      </c>
      <c r="J208" s="409" t="s">
        <v>2245</v>
      </c>
      <c r="K208" s="835">
        <v>44531</v>
      </c>
      <c r="L208" s="409">
        <v>0</v>
      </c>
      <c r="M208" s="409">
        <v>0</v>
      </c>
      <c r="N208" s="409">
        <v>105.19199999999999</v>
      </c>
      <c r="O208" s="409">
        <v>105.19199999999999</v>
      </c>
      <c r="P208" s="409">
        <v>105.19199999999999</v>
      </c>
      <c r="Q208" s="409">
        <v>105.19199999999999</v>
      </c>
      <c r="R208" s="409"/>
      <c r="S208" s="409">
        <v>561.96</v>
      </c>
      <c r="T208" s="409">
        <v>243.39</v>
      </c>
      <c r="U208" s="409"/>
      <c r="V208" s="409">
        <v>84716.377200000003</v>
      </c>
      <c r="W208" s="409">
        <v>84716.377200000003</v>
      </c>
      <c r="X208" s="409">
        <v>76413.572639999999</v>
      </c>
      <c r="Y208" s="409">
        <v>0</v>
      </c>
      <c r="Z208" s="409">
        <v>0</v>
      </c>
      <c r="AA208" s="409">
        <v>0</v>
      </c>
      <c r="AB208" s="409">
        <v>0</v>
      </c>
      <c r="AC208" s="409">
        <v>0</v>
      </c>
      <c r="AD208" s="409">
        <v>12327.35218962545</v>
      </c>
      <c r="AE208" s="409">
        <v>43132.772496853926</v>
      </c>
      <c r="AF208" s="409">
        <v>25602.391055133929</v>
      </c>
      <c r="AG208" s="409">
        <v>0</v>
      </c>
      <c r="AH208" s="409">
        <v>0</v>
      </c>
      <c r="AI208" s="409">
        <v>0</v>
      </c>
      <c r="AJ208" s="409">
        <v>0</v>
      </c>
      <c r="AK208" s="409">
        <v>0</v>
      </c>
      <c r="AL208" s="409">
        <v>0</v>
      </c>
      <c r="AM208" s="409"/>
      <c r="AN208" s="409">
        <v>180.60113842917616</v>
      </c>
      <c r="AO208" s="409">
        <v>0</v>
      </c>
      <c r="AP208" s="409">
        <v>0</v>
      </c>
      <c r="AQ208" s="409">
        <v>0</v>
      </c>
      <c r="AR208" s="409">
        <v>0</v>
      </c>
      <c r="AS208" s="409">
        <v>0</v>
      </c>
      <c r="AT208" s="409">
        <v>0</v>
      </c>
      <c r="AU208" s="409">
        <v>0</v>
      </c>
      <c r="AV208" s="409">
        <v>0</v>
      </c>
      <c r="AW208" s="409">
        <v>0</v>
      </c>
      <c r="AX208" s="409">
        <v>0</v>
      </c>
      <c r="AY208" s="409">
        <v>0</v>
      </c>
      <c r="AZ208" s="409">
        <v>0</v>
      </c>
      <c r="BA208" s="409"/>
      <c r="BB208" s="409">
        <v>0</v>
      </c>
      <c r="BC208" s="409">
        <v>0</v>
      </c>
      <c r="BD208" s="409">
        <v>0</v>
      </c>
      <c r="BE208" s="409">
        <v>0</v>
      </c>
      <c r="BF208" s="409">
        <v>0</v>
      </c>
      <c r="BG208" s="409">
        <v>3473.3692917385902</v>
      </c>
      <c r="BH208" s="409">
        <v>0</v>
      </c>
      <c r="BI208" s="409">
        <v>0</v>
      </c>
      <c r="BJ208" s="409">
        <v>0</v>
      </c>
      <c r="BK208" s="409">
        <v>0</v>
      </c>
      <c r="BL208" s="409">
        <v>1198</v>
      </c>
      <c r="BM208" s="409"/>
      <c r="BN208" s="409"/>
      <c r="BO208" s="409"/>
      <c r="BP208" s="409"/>
      <c r="BQ208" s="409"/>
      <c r="BR208" s="409"/>
      <c r="BS208" s="409"/>
      <c r="BT208" s="409">
        <v>30565.639439999992</v>
      </c>
      <c r="BU208" s="409"/>
      <c r="BV208" s="409">
        <v>29075.760346872517</v>
      </c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09"/>
      <c r="CI208" s="409">
        <v>45847.061499999996</v>
      </c>
      <c r="CJ208" s="409">
        <v>-4982.7948200000101</v>
      </c>
      <c r="CK208" s="409"/>
      <c r="CL208" s="409"/>
      <c r="CM208" s="409"/>
      <c r="CN208" s="409"/>
      <c r="CO208" s="409">
        <v>-9192.7288800000042</v>
      </c>
      <c r="CP208" s="409">
        <v>889.92432000000076</v>
      </c>
      <c r="CQ208" s="409"/>
      <c r="CR208" s="409">
        <v>1584.486671720646</v>
      </c>
      <c r="CS208" s="409">
        <v>0</v>
      </c>
      <c r="CT208" s="409">
        <v>0</v>
      </c>
      <c r="CU208" s="409">
        <v>0</v>
      </c>
      <c r="CV208" s="409">
        <v>0</v>
      </c>
      <c r="CW208" s="409">
        <v>0</v>
      </c>
      <c r="CX208" s="409">
        <v>0</v>
      </c>
      <c r="CY208" s="409">
        <v>0</v>
      </c>
      <c r="CZ208" s="409">
        <v>462.16005482917535</v>
      </c>
      <c r="DA208" s="409">
        <v>0</v>
      </c>
      <c r="DB208" s="409">
        <v>0</v>
      </c>
      <c r="DC208" s="409">
        <v>1172.8431468797207</v>
      </c>
      <c r="DD208" s="409">
        <v>0</v>
      </c>
      <c r="DE208" s="409">
        <v>0</v>
      </c>
      <c r="DF208" s="409">
        <v>0</v>
      </c>
      <c r="DG208" s="409">
        <v>159.11472337194164</v>
      </c>
      <c r="DH208" s="409">
        <v>0</v>
      </c>
      <c r="DI208" s="409">
        <v>0</v>
      </c>
      <c r="DJ208" s="409"/>
      <c r="DK208" s="409">
        <v>0</v>
      </c>
      <c r="DL208" s="409">
        <v>0</v>
      </c>
      <c r="DM208" s="409">
        <v>0</v>
      </c>
      <c r="DN208" s="409">
        <v>0</v>
      </c>
      <c r="DO208" s="409">
        <v>0</v>
      </c>
      <c r="DP208" s="409">
        <v>-10.638011312025583</v>
      </c>
      <c r="DQ208" s="409">
        <v>0</v>
      </c>
      <c r="DR208" s="409">
        <v>-198.99324204816031</v>
      </c>
      <c r="DS208" s="409"/>
      <c r="DT208" s="409"/>
      <c r="DU208" s="409"/>
      <c r="DV208" s="409">
        <v>43132.772496853926</v>
      </c>
      <c r="DW208" s="409">
        <v>0</v>
      </c>
      <c r="DX208" s="409">
        <v>0</v>
      </c>
      <c r="DY208" s="409">
        <v>-9192.7288800000097</v>
      </c>
      <c r="DZ208" s="409">
        <v>889.9243200000019</v>
      </c>
      <c r="EA208" s="409">
        <v>0</v>
      </c>
      <c r="EB208" s="409">
        <v>0</v>
      </c>
      <c r="EC208" s="409">
        <v>-9887.0456992862528</v>
      </c>
      <c r="ED208" s="409">
        <v>0</v>
      </c>
      <c r="EE208" s="409">
        <v>0</v>
      </c>
      <c r="EF208" s="409">
        <v>0</v>
      </c>
      <c r="EG208" s="409">
        <v>0</v>
      </c>
      <c r="EH208" s="409">
        <v>0</v>
      </c>
      <c r="EI208" s="409">
        <v>0</v>
      </c>
      <c r="EJ208" s="409">
        <v>0</v>
      </c>
      <c r="EK208" s="409">
        <v>0</v>
      </c>
      <c r="EL208" s="409">
        <v>0</v>
      </c>
      <c r="EM208" s="409">
        <v>0</v>
      </c>
      <c r="EN208" s="409">
        <v>0</v>
      </c>
      <c r="EO208" s="409">
        <v>0</v>
      </c>
      <c r="EP208" s="409">
        <v>0</v>
      </c>
      <c r="EQ208" s="409">
        <v>0</v>
      </c>
      <c r="ER208" s="409">
        <v>0</v>
      </c>
      <c r="ES208" s="409">
        <v>0</v>
      </c>
      <c r="ET208" s="409">
        <v>0</v>
      </c>
      <c r="EU208" s="409">
        <v>0</v>
      </c>
      <c r="EV208" s="409">
        <v>254</v>
      </c>
      <c r="EW208" s="409">
        <v>0</v>
      </c>
      <c r="EX208" s="409">
        <v>0</v>
      </c>
      <c r="EY208" s="409">
        <v>0</v>
      </c>
      <c r="EZ208" s="409"/>
      <c r="FA208" s="409">
        <v>0</v>
      </c>
      <c r="FB208" s="409"/>
      <c r="FC208" s="409"/>
      <c r="FD208" s="409"/>
      <c r="FE208" s="409"/>
      <c r="FF208" s="409">
        <v>0</v>
      </c>
      <c r="FG208" s="409">
        <v>0</v>
      </c>
      <c r="FH208" s="409">
        <v>0</v>
      </c>
      <c r="FI208" s="409">
        <v>0</v>
      </c>
    </row>
    <row r="209" spans="1:165">
      <c r="A209" s="409">
        <v>207</v>
      </c>
      <c r="B209" s="409" t="s">
        <v>1035</v>
      </c>
      <c r="C209" s="409" t="s">
        <v>2244</v>
      </c>
      <c r="D209" s="409" t="s">
        <v>1991</v>
      </c>
      <c r="E209" s="409" t="s">
        <v>968</v>
      </c>
      <c r="F209" s="409" t="s">
        <v>2249</v>
      </c>
      <c r="G209" s="409" t="s">
        <v>1323</v>
      </c>
      <c r="H209" s="409" t="s">
        <v>1323</v>
      </c>
      <c r="I209" s="409" t="s">
        <v>1323</v>
      </c>
      <c r="J209" s="409" t="s">
        <v>2245</v>
      </c>
      <c r="K209" s="835">
        <v>44531</v>
      </c>
      <c r="L209" s="409">
        <v>0</v>
      </c>
      <c r="M209" s="409">
        <v>0</v>
      </c>
      <c r="N209" s="409">
        <v>38.020000000000003</v>
      </c>
      <c r="O209" s="409">
        <v>38.020000000000003</v>
      </c>
      <c r="P209" s="409">
        <v>38.020000000000003</v>
      </c>
      <c r="Q209" s="409">
        <v>38.020000000000003</v>
      </c>
      <c r="R209" s="409"/>
      <c r="S209" s="409">
        <v>561.96</v>
      </c>
      <c r="T209" s="409">
        <v>243.39</v>
      </c>
      <c r="U209" s="409"/>
      <c r="V209" s="409">
        <v>30619.407000000003</v>
      </c>
      <c r="W209" s="409">
        <v>30619.407000000003</v>
      </c>
      <c r="X209" s="409">
        <v>27618.488400000002</v>
      </c>
      <c r="Y209" s="409">
        <v>0</v>
      </c>
      <c r="Z209" s="409">
        <v>0</v>
      </c>
      <c r="AA209" s="409">
        <v>0</v>
      </c>
      <c r="AB209" s="409">
        <v>0</v>
      </c>
      <c r="AC209" s="409">
        <v>0</v>
      </c>
      <c r="AD209" s="409">
        <v>4455.528274484368</v>
      </c>
      <c r="AE209" s="409">
        <v>15589.664711483634</v>
      </c>
      <c r="AF209" s="409">
        <v>9253.5830473438291</v>
      </c>
      <c r="AG209" s="409">
        <v>0</v>
      </c>
      <c r="AH209" s="409">
        <v>0</v>
      </c>
      <c r="AI209" s="409">
        <v>0</v>
      </c>
      <c r="AJ209" s="409">
        <v>0</v>
      </c>
      <c r="AK209" s="409">
        <v>0</v>
      </c>
      <c r="AL209" s="409">
        <v>0</v>
      </c>
      <c r="AM209" s="409"/>
      <c r="AN209" s="409">
        <v>65.275451394376745</v>
      </c>
      <c r="AO209" s="409">
        <v>0</v>
      </c>
      <c r="AP209" s="409">
        <v>0</v>
      </c>
      <c r="AQ209" s="409">
        <v>0</v>
      </c>
      <c r="AR209" s="409">
        <v>0</v>
      </c>
      <c r="AS209" s="409">
        <v>0</v>
      </c>
      <c r="AT209" s="409">
        <v>0</v>
      </c>
      <c r="AU209" s="409">
        <v>0</v>
      </c>
      <c r="AV209" s="409">
        <v>0</v>
      </c>
      <c r="AW209" s="409">
        <v>0</v>
      </c>
      <c r="AX209" s="409">
        <v>0</v>
      </c>
      <c r="AY209" s="409">
        <v>0</v>
      </c>
      <c r="AZ209" s="409">
        <v>0</v>
      </c>
      <c r="BA209" s="409"/>
      <c r="BB209" s="409">
        <v>0</v>
      </c>
      <c r="BC209" s="409">
        <v>0</v>
      </c>
      <c r="BD209" s="409">
        <v>0</v>
      </c>
      <c r="BE209" s="409">
        <v>0</v>
      </c>
      <c r="BF209" s="409">
        <v>0</v>
      </c>
      <c r="BG209" s="409">
        <v>1255.3949014364325</v>
      </c>
      <c r="BH209" s="409">
        <v>0</v>
      </c>
      <c r="BI209" s="409">
        <v>0</v>
      </c>
      <c r="BJ209" s="409">
        <v>0</v>
      </c>
      <c r="BK209" s="409">
        <v>0</v>
      </c>
      <c r="BL209" s="409">
        <v>726</v>
      </c>
      <c r="BM209" s="409"/>
      <c r="BN209" s="409"/>
      <c r="BO209" s="409"/>
      <c r="BP209" s="409"/>
      <c r="BQ209" s="409"/>
      <c r="BR209" s="409"/>
      <c r="BS209" s="409"/>
      <c r="BT209" s="409">
        <v>2761.7727999999997</v>
      </c>
      <c r="BU209" s="409"/>
      <c r="BV209" s="409">
        <v>10508.977948780263</v>
      </c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09"/>
      <c r="CI209" s="409">
        <v>24856.715600000003</v>
      </c>
      <c r="CJ209" s="409">
        <v>-2700.9707999999919</v>
      </c>
      <c r="CK209" s="409"/>
      <c r="CL209" s="409"/>
      <c r="CM209" s="409"/>
      <c r="CN209" s="409"/>
      <c r="CO209" s="409">
        <v>-3322.5678000000021</v>
      </c>
      <c r="CP209" s="409">
        <v>321.64920000000035</v>
      </c>
      <c r="CQ209" s="409"/>
      <c r="CR209" s="409">
        <v>572.68787796428478</v>
      </c>
      <c r="CS209" s="409">
        <v>0</v>
      </c>
      <c r="CT209" s="409">
        <v>0</v>
      </c>
      <c r="CU209" s="409">
        <v>0</v>
      </c>
      <c r="CV209" s="409">
        <v>0</v>
      </c>
      <c r="CW209" s="409">
        <v>0</v>
      </c>
      <c r="CX209" s="409">
        <v>0</v>
      </c>
      <c r="CY209" s="409">
        <v>0</v>
      </c>
      <c r="CZ209" s="409">
        <v>167.04050958823154</v>
      </c>
      <c r="DA209" s="409">
        <v>0</v>
      </c>
      <c r="DB209" s="409">
        <v>0</v>
      </c>
      <c r="DC209" s="409">
        <v>423.90577652641878</v>
      </c>
      <c r="DD209" s="409">
        <v>0</v>
      </c>
      <c r="DE209" s="409">
        <v>0</v>
      </c>
      <c r="DF209" s="409">
        <v>0</v>
      </c>
      <c r="DG209" s="409">
        <v>57.509523372511467</v>
      </c>
      <c r="DH209" s="409">
        <v>0</v>
      </c>
      <c r="DI209" s="409">
        <v>0</v>
      </c>
      <c r="DJ209" s="409"/>
      <c r="DK209" s="409">
        <v>0</v>
      </c>
      <c r="DL209" s="409">
        <v>0</v>
      </c>
      <c r="DM209" s="409">
        <v>0</v>
      </c>
      <c r="DN209" s="409">
        <v>0</v>
      </c>
      <c r="DO209" s="409">
        <v>0</v>
      </c>
      <c r="DP209" s="409">
        <v>-3.8449424869116697</v>
      </c>
      <c r="DQ209" s="409">
        <v>0</v>
      </c>
      <c r="DR209" s="409">
        <v>-71.922989035963354</v>
      </c>
      <c r="DS209" s="409"/>
      <c r="DT209" s="409"/>
      <c r="DU209" s="409"/>
      <c r="DV209" s="409">
        <v>15589.664711483634</v>
      </c>
      <c r="DW209" s="409">
        <v>0</v>
      </c>
      <c r="DX209" s="409">
        <v>0</v>
      </c>
      <c r="DY209" s="409">
        <v>-3322.5678000000007</v>
      </c>
      <c r="DZ209" s="409">
        <v>321.64920000000166</v>
      </c>
      <c r="EA209" s="409">
        <v>0</v>
      </c>
      <c r="EB209" s="409">
        <v>0</v>
      </c>
      <c r="EC209" s="409">
        <v>-3573.5177341134622</v>
      </c>
      <c r="ED209" s="409">
        <v>0</v>
      </c>
      <c r="EE209" s="409">
        <v>0</v>
      </c>
      <c r="EF209" s="409">
        <v>0</v>
      </c>
      <c r="EG209" s="409">
        <v>0</v>
      </c>
      <c r="EH209" s="409">
        <v>0</v>
      </c>
      <c r="EI209" s="409">
        <v>0</v>
      </c>
      <c r="EJ209" s="409">
        <v>0</v>
      </c>
      <c r="EK209" s="409">
        <v>0</v>
      </c>
      <c r="EL209" s="409">
        <v>0</v>
      </c>
      <c r="EM209" s="409">
        <v>0</v>
      </c>
      <c r="EN209" s="409">
        <v>0</v>
      </c>
      <c r="EO209" s="409">
        <v>0</v>
      </c>
      <c r="EP209" s="409">
        <v>0</v>
      </c>
      <c r="EQ209" s="409">
        <v>0</v>
      </c>
      <c r="ER209" s="409">
        <v>0</v>
      </c>
      <c r="ES209" s="409">
        <v>0</v>
      </c>
      <c r="ET209" s="409">
        <v>0</v>
      </c>
      <c r="EU209" s="409">
        <v>0</v>
      </c>
      <c r="EV209" s="409">
        <v>254</v>
      </c>
      <c r="EW209" s="409">
        <v>0</v>
      </c>
      <c r="EX209" s="409">
        <v>0</v>
      </c>
      <c r="EY209" s="409">
        <v>0</v>
      </c>
      <c r="EZ209" s="409"/>
      <c r="FA209" s="409">
        <v>0</v>
      </c>
      <c r="FB209" s="409"/>
      <c r="FC209" s="409"/>
      <c r="FD209" s="409"/>
      <c r="FE209" s="409"/>
      <c r="FF209" s="409">
        <v>0</v>
      </c>
      <c r="FG209" s="409">
        <v>0</v>
      </c>
      <c r="FH209" s="409">
        <v>0</v>
      </c>
      <c r="FI209" s="409">
        <v>0</v>
      </c>
    </row>
    <row r="210" spans="1:165">
      <c r="A210" s="409">
        <v>208</v>
      </c>
      <c r="B210" s="409" t="s">
        <v>1035</v>
      </c>
      <c r="C210" s="409" t="s">
        <v>2244</v>
      </c>
      <c r="D210" s="409" t="s">
        <v>1991</v>
      </c>
      <c r="E210" s="409" t="s">
        <v>968</v>
      </c>
      <c r="F210" s="409" t="s">
        <v>2250</v>
      </c>
      <c r="G210" s="409" t="s">
        <v>1323</v>
      </c>
      <c r="H210" s="409" t="s">
        <v>1323</v>
      </c>
      <c r="I210" s="409" t="s">
        <v>1323</v>
      </c>
      <c r="J210" s="409" t="s">
        <v>2245</v>
      </c>
      <c r="K210" s="835">
        <v>44531</v>
      </c>
      <c r="L210" s="409">
        <v>0</v>
      </c>
      <c r="M210" s="409">
        <v>0</v>
      </c>
      <c r="N210" s="409">
        <v>8.0709999999999997</v>
      </c>
      <c r="O210" s="409">
        <v>8.0709999999999997</v>
      </c>
      <c r="P210" s="409">
        <v>8.0709999999999997</v>
      </c>
      <c r="Q210" s="409">
        <v>8.0709999999999997</v>
      </c>
      <c r="R210" s="409"/>
      <c r="S210" s="409">
        <v>561.96</v>
      </c>
      <c r="T210" s="409">
        <v>243.39</v>
      </c>
      <c r="U210" s="409"/>
      <c r="V210" s="409">
        <v>6499.9798499999997</v>
      </c>
      <c r="W210" s="409">
        <v>6499.9798499999997</v>
      </c>
      <c r="X210" s="409">
        <v>5862.9358199999997</v>
      </c>
      <c r="Y210" s="409">
        <v>0</v>
      </c>
      <c r="Z210" s="409">
        <v>0</v>
      </c>
      <c r="AA210" s="409">
        <v>0</v>
      </c>
      <c r="AB210" s="409">
        <v>0</v>
      </c>
      <c r="AC210" s="409">
        <v>0</v>
      </c>
      <c r="AD210" s="409">
        <v>945.83294853664734</v>
      </c>
      <c r="AE210" s="409">
        <v>3309.4209333609783</v>
      </c>
      <c r="AF210" s="409">
        <v>1964.3784527909531</v>
      </c>
      <c r="AG210" s="409">
        <v>0</v>
      </c>
      <c r="AH210" s="409">
        <v>0</v>
      </c>
      <c r="AI210" s="409">
        <v>0</v>
      </c>
      <c r="AJ210" s="409">
        <v>0</v>
      </c>
      <c r="AK210" s="409">
        <v>0</v>
      </c>
      <c r="AL210" s="409">
        <v>0</v>
      </c>
      <c r="AM210" s="409"/>
      <c r="AN210" s="409">
        <v>13.85686923208876</v>
      </c>
      <c r="AO210" s="409">
        <v>0</v>
      </c>
      <c r="AP210" s="409">
        <v>0</v>
      </c>
      <c r="AQ210" s="409">
        <v>0</v>
      </c>
      <c r="AR210" s="409">
        <v>0</v>
      </c>
      <c r="AS210" s="409">
        <v>0</v>
      </c>
      <c r="AT210" s="409">
        <v>0</v>
      </c>
      <c r="AU210" s="409">
        <v>0</v>
      </c>
      <c r="AV210" s="409">
        <v>0</v>
      </c>
      <c r="AW210" s="409">
        <v>0</v>
      </c>
      <c r="AX210" s="409">
        <v>0</v>
      </c>
      <c r="AY210" s="409">
        <v>0</v>
      </c>
      <c r="AZ210" s="409">
        <v>0</v>
      </c>
      <c r="BA210" s="409"/>
      <c r="BB210" s="409">
        <v>0</v>
      </c>
      <c r="BC210" s="409">
        <v>0</v>
      </c>
      <c r="BD210" s="409">
        <v>0</v>
      </c>
      <c r="BE210" s="409">
        <v>0</v>
      </c>
      <c r="BF210" s="409">
        <v>0</v>
      </c>
      <c r="BG210" s="409">
        <v>266.49900708820218</v>
      </c>
      <c r="BH210" s="409">
        <v>0</v>
      </c>
      <c r="BI210" s="409">
        <v>52.79</v>
      </c>
      <c r="BJ210" s="409">
        <v>243.05</v>
      </c>
      <c r="BK210" s="409">
        <v>1358.81</v>
      </c>
      <c r="BL210" s="409">
        <v>84</v>
      </c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09">
        <v>2230.8774598791551</v>
      </c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>
        <v>5862.2093999999997</v>
      </c>
      <c r="CJ210" s="409">
        <v>-637.80045000000064</v>
      </c>
      <c r="CK210" s="409"/>
      <c r="CL210" s="409"/>
      <c r="CM210" s="409"/>
      <c r="CN210" s="409"/>
      <c r="CO210" s="409">
        <v>-705.32469000000037</v>
      </c>
      <c r="CP210" s="409">
        <v>68.280660000000069</v>
      </c>
      <c r="CQ210" s="409"/>
      <c r="CR210" s="409">
        <v>121.571905919247</v>
      </c>
      <c r="CS210" s="409">
        <v>0</v>
      </c>
      <c r="CT210" s="409">
        <v>0</v>
      </c>
      <c r="CU210" s="409">
        <v>0</v>
      </c>
      <c r="CV210" s="409">
        <v>0</v>
      </c>
      <c r="CW210" s="409">
        <v>0</v>
      </c>
      <c r="CX210" s="409">
        <v>0</v>
      </c>
      <c r="CY210" s="409">
        <v>0</v>
      </c>
      <c r="CZ210" s="409">
        <v>35.459861990705349</v>
      </c>
      <c r="DA210" s="409">
        <v>0</v>
      </c>
      <c r="DB210" s="409">
        <v>0</v>
      </c>
      <c r="DC210" s="409">
        <v>89.987993749203952</v>
      </c>
      <c r="DD210" s="409">
        <v>0</v>
      </c>
      <c r="DE210" s="409">
        <v>0</v>
      </c>
      <c r="DF210" s="409">
        <v>0</v>
      </c>
      <c r="DG210" s="409">
        <v>12.208294664375046</v>
      </c>
      <c r="DH210" s="409">
        <v>0</v>
      </c>
      <c r="DI210" s="409">
        <v>0</v>
      </c>
      <c r="DJ210" s="409"/>
      <c r="DK210" s="409">
        <v>0</v>
      </c>
      <c r="DL210" s="409">
        <v>0</v>
      </c>
      <c r="DM210" s="409">
        <v>0</v>
      </c>
      <c r="DN210" s="409">
        <v>0</v>
      </c>
      <c r="DO210" s="409">
        <v>0</v>
      </c>
      <c r="DP210" s="409">
        <v>-0.81621596033309096</v>
      </c>
      <c r="DQ210" s="409">
        <v>0</v>
      </c>
      <c r="DR210" s="409">
        <v>-15.26802852470437</v>
      </c>
      <c r="DS210" s="409"/>
      <c r="DT210" s="409"/>
      <c r="DU210" s="409"/>
      <c r="DV210" s="409">
        <v>3309.4209333609783</v>
      </c>
      <c r="DW210" s="409">
        <v>0</v>
      </c>
      <c r="DX210" s="409">
        <v>0</v>
      </c>
      <c r="DY210" s="409">
        <v>-705.32469000000037</v>
      </c>
      <c r="DZ210" s="409">
        <v>68.280660000000125</v>
      </c>
      <c r="EA210" s="409">
        <v>0</v>
      </c>
      <c r="EB210" s="409">
        <v>0</v>
      </c>
      <c r="EC210" s="409">
        <v>-758.59709710756806</v>
      </c>
      <c r="ED210" s="409">
        <v>0</v>
      </c>
      <c r="EE210" s="409">
        <v>0</v>
      </c>
      <c r="EF210" s="409">
        <v>0</v>
      </c>
      <c r="EG210" s="409">
        <v>0</v>
      </c>
      <c r="EH210" s="409">
        <v>0</v>
      </c>
      <c r="EI210" s="409">
        <v>0</v>
      </c>
      <c r="EJ210" s="409">
        <v>0</v>
      </c>
      <c r="EK210" s="409">
        <v>0</v>
      </c>
      <c r="EL210" s="409">
        <v>0</v>
      </c>
      <c r="EM210" s="409">
        <v>0</v>
      </c>
      <c r="EN210" s="409">
        <v>0</v>
      </c>
      <c r="EO210" s="409">
        <v>0</v>
      </c>
      <c r="EP210" s="409">
        <v>0</v>
      </c>
      <c r="EQ210" s="409">
        <v>0</v>
      </c>
      <c r="ER210" s="409">
        <v>0</v>
      </c>
      <c r="ES210" s="409">
        <v>0</v>
      </c>
      <c r="ET210" s="409">
        <v>0</v>
      </c>
      <c r="EU210" s="409">
        <v>0</v>
      </c>
      <c r="EV210" s="409">
        <v>254</v>
      </c>
      <c r="EW210" s="409">
        <v>0</v>
      </c>
      <c r="EX210" s="409">
        <v>0</v>
      </c>
      <c r="EY210" s="409">
        <v>0</v>
      </c>
      <c r="EZ210" s="409"/>
      <c r="FA210" s="409">
        <v>0</v>
      </c>
      <c r="FB210" s="409"/>
      <c r="FC210" s="409"/>
      <c r="FD210" s="409"/>
      <c r="FE210" s="409"/>
      <c r="FF210" s="409">
        <v>0</v>
      </c>
      <c r="FG210" s="409">
        <v>0</v>
      </c>
      <c r="FH210" s="409">
        <v>0</v>
      </c>
      <c r="FI210" s="409">
        <v>0</v>
      </c>
    </row>
    <row r="211" spans="1:165">
      <c r="A211" s="409">
        <v>209</v>
      </c>
      <c r="B211" s="409" t="s">
        <v>1035</v>
      </c>
      <c r="C211" s="409" t="s">
        <v>2252</v>
      </c>
      <c r="D211" s="409" t="s">
        <v>1991</v>
      </c>
      <c r="E211" s="409" t="s">
        <v>968</v>
      </c>
      <c r="F211" s="409" t="s">
        <v>968</v>
      </c>
      <c r="G211" s="409" t="s">
        <v>1323</v>
      </c>
      <c r="H211" s="409" t="s">
        <v>1323</v>
      </c>
      <c r="I211" s="409" t="s">
        <v>2237</v>
      </c>
      <c r="J211" s="409" t="s">
        <v>2245</v>
      </c>
      <c r="K211" s="835">
        <v>44531</v>
      </c>
      <c r="L211" s="409">
        <v>0</v>
      </c>
      <c r="M211" s="409">
        <v>0</v>
      </c>
      <c r="N211" s="409">
        <v>0.25600000000000001</v>
      </c>
      <c r="O211" s="409">
        <v>0.25600000000000001</v>
      </c>
      <c r="P211" s="409">
        <v>0.25600000000000001</v>
      </c>
      <c r="Q211" s="409">
        <v>0.25600000000000001</v>
      </c>
      <c r="R211" s="409"/>
      <c r="S211" s="409">
        <v>386.11</v>
      </c>
      <c r="T211" s="409">
        <v>243.39</v>
      </c>
      <c r="U211" s="409"/>
      <c r="V211" s="409">
        <v>161.15199999999999</v>
      </c>
      <c r="W211" s="409">
        <v>161.15199999999999</v>
      </c>
      <c r="X211" s="409">
        <v>149.99552</v>
      </c>
      <c r="Y211" s="409">
        <v>0</v>
      </c>
      <c r="Z211" s="409">
        <v>6.3701702310905857</v>
      </c>
      <c r="AA211" s="409">
        <v>0</v>
      </c>
      <c r="AB211" s="409">
        <v>0</v>
      </c>
      <c r="AC211" s="409">
        <v>0</v>
      </c>
      <c r="AD211" s="409">
        <v>18.000003644470297</v>
      </c>
      <c r="AE211" s="409">
        <v>62.981927004810494</v>
      </c>
      <c r="AF211" s="409">
        <v>62.30713466912205</v>
      </c>
      <c r="AG211" s="409">
        <v>0</v>
      </c>
      <c r="AH211" s="409">
        <v>0</v>
      </c>
      <c r="AI211" s="409">
        <v>0</v>
      </c>
      <c r="AJ211" s="409">
        <v>0</v>
      </c>
      <c r="AK211" s="409">
        <v>0</v>
      </c>
      <c r="AL211" s="409">
        <v>2.6007272513057278</v>
      </c>
      <c r="AM211" s="409"/>
      <c r="AN211" s="409">
        <v>0.43951908356024322</v>
      </c>
      <c r="AO211" s="409">
        <v>0</v>
      </c>
      <c r="AP211" s="409">
        <v>0</v>
      </c>
      <c r="AQ211" s="409">
        <v>0</v>
      </c>
      <c r="AR211" s="409">
        <v>0</v>
      </c>
      <c r="AS211" s="409">
        <v>0</v>
      </c>
      <c r="AT211" s="409">
        <v>0</v>
      </c>
      <c r="AU211" s="409">
        <v>0</v>
      </c>
      <c r="AV211" s="409">
        <v>0</v>
      </c>
      <c r="AW211" s="409">
        <v>0</v>
      </c>
      <c r="AX211" s="409">
        <v>0</v>
      </c>
      <c r="AY211" s="409">
        <v>0</v>
      </c>
      <c r="AZ211" s="409">
        <v>0</v>
      </c>
      <c r="BA211" s="409"/>
      <c r="BB211" s="409">
        <v>0</v>
      </c>
      <c r="BC211" s="409">
        <v>0</v>
      </c>
      <c r="BD211" s="409">
        <v>0</v>
      </c>
      <c r="BE211" s="409">
        <v>0</v>
      </c>
      <c r="BF211" s="409">
        <v>0</v>
      </c>
      <c r="BG211" s="409">
        <v>8.4529483105661942</v>
      </c>
      <c r="BH211" s="409">
        <v>0</v>
      </c>
      <c r="BI211" s="409">
        <v>0</v>
      </c>
      <c r="BJ211" s="409">
        <v>0</v>
      </c>
      <c r="BK211" s="409">
        <v>0</v>
      </c>
      <c r="BL211" s="409">
        <v>0</v>
      </c>
      <c r="BM211" s="409"/>
      <c r="BN211" s="409"/>
      <c r="BO211" s="409"/>
      <c r="BP211" s="409"/>
      <c r="BQ211" s="409"/>
      <c r="BR211" s="409"/>
      <c r="BS211" s="409"/>
      <c r="BT211" s="409"/>
      <c r="BU211" s="409"/>
      <c r="BV211" s="409">
        <v>70.760082979688249</v>
      </c>
      <c r="BW211" s="409"/>
      <c r="BX211" s="409"/>
      <c r="BY211" s="409"/>
      <c r="BZ211" s="409"/>
      <c r="CA211" s="409"/>
      <c r="CB211" s="409"/>
      <c r="CC211" s="409"/>
      <c r="CD211" s="409"/>
      <c r="CE211" s="409"/>
      <c r="CF211" s="409"/>
      <c r="CG211" s="409"/>
      <c r="CH211" s="409"/>
      <c r="CI211" s="409">
        <v>152.33920000000001</v>
      </c>
      <c r="CJ211" s="409">
        <v>-8.8428000000000111</v>
      </c>
      <c r="CK211" s="409"/>
      <c r="CL211" s="409"/>
      <c r="CM211" s="409"/>
      <c r="CN211" s="409"/>
      <c r="CO211" s="409">
        <v>-13.322240000000006</v>
      </c>
      <c r="CP211" s="409">
        <v>2.1657600000000019</v>
      </c>
      <c r="CQ211" s="409"/>
      <c r="CR211" s="409">
        <v>3.2815784848956469</v>
      </c>
      <c r="CS211" s="409">
        <v>0</v>
      </c>
      <c r="CT211" s="409">
        <v>0</v>
      </c>
      <c r="CU211" s="409">
        <v>0</v>
      </c>
      <c r="CV211" s="409">
        <v>0</v>
      </c>
      <c r="CW211" s="409">
        <v>0</v>
      </c>
      <c r="CX211" s="409">
        <v>0</v>
      </c>
      <c r="CY211" s="409">
        <v>0</v>
      </c>
      <c r="CZ211" s="409">
        <v>0.67483126492111367</v>
      </c>
      <c r="DA211" s="409">
        <v>0</v>
      </c>
      <c r="DB211" s="409">
        <v>0</v>
      </c>
      <c r="DC211" s="409">
        <v>2.8542840292152363</v>
      </c>
      <c r="DD211" s="409">
        <v>0</v>
      </c>
      <c r="DE211" s="409">
        <v>0</v>
      </c>
      <c r="DF211" s="409">
        <v>0</v>
      </c>
      <c r="DG211" s="409">
        <v>0.38722877389171373</v>
      </c>
      <c r="DH211" s="409">
        <v>0</v>
      </c>
      <c r="DI211" s="409">
        <v>-4.6456891673778422E-2</v>
      </c>
      <c r="DJ211" s="409"/>
      <c r="DK211" s="409">
        <v>0</v>
      </c>
      <c r="DL211" s="409">
        <v>0</v>
      </c>
      <c r="DM211" s="409">
        <v>0</v>
      </c>
      <c r="DN211" s="409">
        <v>0</v>
      </c>
      <c r="DO211" s="409">
        <v>-1.4587354882355186E-2</v>
      </c>
      <c r="DP211" s="409">
        <v>-2.5889144572577294E-2</v>
      </c>
      <c r="DQ211" s="409">
        <v>0</v>
      </c>
      <c r="DR211" s="409">
        <v>-0.54783219200371092</v>
      </c>
      <c r="DS211" s="409"/>
      <c r="DT211" s="409"/>
      <c r="DU211" s="409"/>
      <c r="DV211" s="409">
        <v>62.981927004810494</v>
      </c>
      <c r="DW211" s="409">
        <v>0</v>
      </c>
      <c r="DX211" s="409">
        <v>0</v>
      </c>
      <c r="DY211" s="409">
        <v>-13.322240000000008</v>
      </c>
      <c r="DZ211" s="409">
        <v>2.1657600000000059</v>
      </c>
      <c r="EA211" s="409">
        <v>0</v>
      </c>
      <c r="EB211" s="409">
        <v>0</v>
      </c>
      <c r="EC211" s="409">
        <v>-14.4369386542702</v>
      </c>
      <c r="ED211" s="409">
        <v>0</v>
      </c>
      <c r="EE211" s="409">
        <v>0</v>
      </c>
      <c r="EF211" s="409">
        <v>0</v>
      </c>
      <c r="EG211" s="409">
        <v>0</v>
      </c>
      <c r="EH211" s="409">
        <v>0</v>
      </c>
      <c r="EI211" s="409">
        <v>0</v>
      </c>
      <c r="EJ211" s="409">
        <v>0</v>
      </c>
      <c r="EK211" s="409">
        <v>0</v>
      </c>
      <c r="EL211" s="409">
        <v>0</v>
      </c>
      <c r="EM211" s="409">
        <v>0</v>
      </c>
      <c r="EN211" s="409">
        <v>0</v>
      </c>
      <c r="EO211" s="409">
        <v>0</v>
      </c>
      <c r="EP211" s="409">
        <v>0</v>
      </c>
      <c r="EQ211" s="409">
        <v>0</v>
      </c>
      <c r="ER211" s="409">
        <v>0</v>
      </c>
      <c r="ES211" s="409">
        <v>0</v>
      </c>
      <c r="ET211" s="409">
        <v>0</v>
      </c>
      <c r="EU211" s="409">
        <v>0</v>
      </c>
      <c r="EV211" s="409">
        <v>254</v>
      </c>
      <c r="EW211" s="409">
        <v>0</v>
      </c>
      <c r="EX211" s="409">
        <v>0</v>
      </c>
      <c r="EY211" s="409">
        <v>0</v>
      </c>
      <c r="EZ211" s="409"/>
      <c r="FA211" s="409">
        <v>0</v>
      </c>
      <c r="FB211" s="409"/>
      <c r="FC211" s="409"/>
      <c r="FD211" s="409"/>
      <c r="FE211" s="409"/>
      <c r="FF211" s="409">
        <v>0</v>
      </c>
      <c r="FG211" s="409">
        <v>0</v>
      </c>
      <c r="FH211" s="409">
        <v>0</v>
      </c>
      <c r="FI211" s="409">
        <v>0</v>
      </c>
    </row>
    <row r="212" spans="1:165">
      <c r="A212" s="409">
        <v>210</v>
      </c>
      <c r="B212" s="409" t="s">
        <v>1035</v>
      </c>
      <c r="C212" s="409" t="s">
        <v>2252</v>
      </c>
      <c r="D212" s="409" t="s">
        <v>1991</v>
      </c>
      <c r="E212" s="409" t="s">
        <v>968</v>
      </c>
      <c r="F212" s="409" t="s">
        <v>968</v>
      </c>
      <c r="G212" s="409" t="s">
        <v>1323</v>
      </c>
      <c r="H212" s="409" t="s">
        <v>1323</v>
      </c>
      <c r="I212" s="409" t="s">
        <v>1323</v>
      </c>
      <c r="J212" s="409" t="s">
        <v>2245</v>
      </c>
      <c r="K212" s="835">
        <v>44531</v>
      </c>
      <c r="L212" s="409">
        <v>0</v>
      </c>
      <c r="M212" s="409">
        <v>0</v>
      </c>
      <c r="N212" s="409">
        <v>0</v>
      </c>
      <c r="O212" s="409">
        <v>0</v>
      </c>
      <c r="P212" s="409">
        <v>0</v>
      </c>
      <c r="Q212" s="409">
        <v>0</v>
      </c>
      <c r="R212" s="409"/>
      <c r="S212" s="409"/>
      <c r="T212" s="409"/>
      <c r="U212" s="409"/>
      <c r="V212" s="409"/>
      <c r="W212" s="409"/>
      <c r="X212" s="409"/>
      <c r="Y212" s="409"/>
      <c r="Z212" s="409"/>
      <c r="AA212" s="409">
        <v>0</v>
      </c>
      <c r="AB212" s="409"/>
      <c r="AC212" s="409"/>
      <c r="AD212" s="409"/>
      <c r="AE212" s="409"/>
      <c r="AF212" s="409"/>
      <c r="AG212" s="409"/>
      <c r="AH212" s="409"/>
      <c r="AI212" s="409"/>
      <c r="AJ212" s="409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>
        <v>0</v>
      </c>
      <c r="BA212" s="409"/>
      <c r="BB212" s="409"/>
      <c r="BC212" s="409"/>
      <c r="BD212" s="409"/>
      <c r="BE212" s="409"/>
      <c r="BF212" s="409"/>
      <c r="BG212" s="409"/>
      <c r="BH212" s="409"/>
      <c r="BI212" s="409">
        <v>0</v>
      </c>
      <c r="BJ212" s="409">
        <v>0</v>
      </c>
      <c r="BK212" s="409">
        <v>0</v>
      </c>
      <c r="BL212" s="409">
        <v>1</v>
      </c>
      <c r="BM212" s="409"/>
      <c r="BN212" s="409"/>
      <c r="BO212" s="409"/>
      <c r="BP212" s="409"/>
      <c r="BQ212" s="409"/>
      <c r="BR212" s="409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I212" s="409"/>
      <c r="CJ212" s="409">
        <v>-0.03</v>
      </c>
      <c r="CK212" s="409"/>
      <c r="CL212" s="409"/>
      <c r="CM212" s="409"/>
      <c r="CN212" s="409"/>
      <c r="CO212" s="409">
        <v>0</v>
      </c>
      <c r="CP212" s="409">
        <v>0</v>
      </c>
      <c r="CQ212" s="409"/>
      <c r="CR212" s="409"/>
      <c r="CS212" s="409"/>
      <c r="CT212" s="409"/>
      <c r="CU212" s="409"/>
      <c r="CV212" s="409"/>
      <c r="CW212" s="409"/>
      <c r="CX212" s="409"/>
      <c r="CY212" s="409"/>
      <c r="CZ212" s="409"/>
      <c r="DA212" s="409"/>
      <c r="DB212" s="409"/>
      <c r="DC212" s="409"/>
      <c r="DD212" s="409"/>
      <c r="DE212" s="409"/>
      <c r="DF212" s="409"/>
      <c r="DG212" s="409"/>
      <c r="DH212" s="409"/>
      <c r="DI212" s="409"/>
      <c r="DJ212" s="409"/>
      <c r="DK212" s="409">
        <v>0</v>
      </c>
      <c r="DL212" s="409"/>
      <c r="DM212" s="409"/>
      <c r="DN212" s="409"/>
      <c r="DO212" s="409"/>
      <c r="DP212" s="409"/>
      <c r="DQ212" s="409"/>
      <c r="DR212" s="409"/>
      <c r="DS212" s="409"/>
      <c r="DT212" s="409"/>
      <c r="DU212" s="409"/>
      <c r="DV212" s="409"/>
      <c r="DW212" s="409"/>
      <c r="DX212" s="409"/>
      <c r="DY212" s="409"/>
      <c r="DZ212" s="409"/>
      <c r="EA212" s="409"/>
      <c r="EB212" s="409"/>
      <c r="EC212" s="409"/>
      <c r="ED212" s="409"/>
      <c r="EE212" s="409"/>
      <c r="EF212" s="409"/>
      <c r="EG212" s="409"/>
      <c r="EH212" s="409"/>
      <c r="EI212" s="409"/>
      <c r="EJ212" s="409"/>
      <c r="EK212" s="409"/>
      <c r="EL212" s="409"/>
      <c r="EM212" s="409"/>
      <c r="EN212" s="409"/>
      <c r="EO212" s="409"/>
      <c r="EP212" s="409"/>
      <c r="EQ212" s="409"/>
      <c r="ER212" s="409"/>
      <c r="ES212" s="409"/>
      <c r="ET212" s="409"/>
      <c r="EU212" s="409"/>
      <c r="EV212" s="409">
        <v>254</v>
      </c>
      <c r="EW212" s="409"/>
      <c r="EX212" s="409"/>
      <c r="EY212" s="409"/>
      <c r="EZ212" s="409"/>
      <c r="FA212" s="409">
        <v>0</v>
      </c>
      <c r="FB212" s="409"/>
      <c r="FC212" s="409"/>
      <c r="FD212" s="409"/>
      <c r="FE212" s="409"/>
      <c r="FF212" s="409">
        <v>0</v>
      </c>
      <c r="FG212" s="409">
        <v>0</v>
      </c>
      <c r="FH212" s="409">
        <v>0</v>
      </c>
      <c r="FI212" s="409">
        <v>0</v>
      </c>
    </row>
    <row r="213" spans="1:165">
      <c r="A213" s="409">
        <v>211</v>
      </c>
      <c r="B213" s="409" t="s">
        <v>1035</v>
      </c>
      <c r="C213" s="409" t="s">
        <v>2252</v>
      </c>
      <c r="D213" s="409" t="s">
        <v>1991</v>
      </c>
      <c r="E213" s="409" t="s">
        <v>968</v>
      </c>
      <c r="F213" s="409" t="s">
        <v>968</v>
      </c>
      <c r="G213" s="409" t="s">
        <v>1323</v>
      </c>
      <c r="H213" s="409" t="s">
        <v>1323</v>
      </c>
      <c r="I213" s="409" t="s">
        <v>2253</v>
      </c>
      <c r="J213" s="409" t="s">
        <v>2245</v>
      </c>
      <c r="K213" s="835">
        <v>44531</v>
      </c>
      <c r="L213" s="409">
        <v>0</v>
      </c>
      <c r="M213" s="409">
        <v>0</v>
      </c>
      <c r="N213" s="409">
        <v>1E-3</v>
      </c>
      <c r="O213" s="409">
        <v>1E-3</v>
      </c>
      <c r="P213" s="409">
        <v>1E-3</v>
      </c>
      <c r="Q213" s="409">
        <v>1E-3</v>
      </c>
      <c r="R213" s="409"/>
      <c r="S213" s="409">
        <v>1018.79</v>
      </c>
      <c r="T213" s="409">
        <v>243.39</v>
      </c>
      <c r="U213" s="409"/>
      <c r="V213" s="409">
        <v>1.2621800000000001</v>
      </c>
      <c r="W213" s="409">
        <v>1.2621800000000001</v>
      </c>
      <c r="X213" s="409">
        <v>1.1119699999999999</v>
      </c>
      <c r="Y213" s="409">
        <v>0</v>
      </c>
      <c r="Z213" s="409">
        <v>2.48834774651976E-2</v>
      </c>
      <c r="AA213" s="409">
        <v>0</v>
      </c>
      <c r="AB213" s="409">
        <v>0</v>
      </c>
      <c r="AC213" s="409">
        <v>0</v>
      </c>
      <c r="AD213" s="409">
        <v>0.21093950860917302</v>
      </c>
      <c r="AE213" s="409">
        <v>0.73806936332554907</v>
      </c>
      <c r="AF213" s="409">
        <v>0.24338724480125801</v>
      </c>
      <c r="AG213" s="409">
        <v>0</v>
      </c>
      <c r="AH213" s="409">
        <v>0</v>
      </c>
      <c r="AI213" s="409">
        <v>0</v>
      </c>
      <c r="AJ213" s="409">
        <v>0</v>
      </c>
      <c r="AK213" s="409">
        <v>0</v>
      </c>
      <c r="AL213" s="409">
        <v>1.0159090825412999E-2</v>
      </c>
      <c r="AM213" s="409"/>
      <c r="AN213" s="409">
        <v>1.7168714201572001E-3</v>
      </c>
      <c r="AO213" s="409">
        <v>0</v>
      </c>
      <c r="AP213" s="409">
        <v>0</v>
      </c>
      <c r="AQ213" s="409">
        <v>0</v>
      </c>
      <c r="AR213" s="409">
        <v>0</v>
      </c>
      <c r="AS213" s="409">
        <v>0</v>
      </c>
      <c r="AT213" s="409">
        <v>0</v>
      </c>
      <c r="AU213" s="409">
        <v>0</v>
      </c>
      <c r="AV213" s="409">
        <v>0</v>
      </c>
      <c r="AW213" s="409">
        <v>0</v>
      </c>
      <c r="AX213" s="409">
        <v>0</v>
      </c>
      <c r="AY213" s="409">
        <v>0</v>
      </c>
      <c r="AZ213" s="409">
        <v>0</v>
      </c>
      <c r="BA213" s="409"/>
      <c r="BB213" s="409">
        <v>0</v>
      </c>
      <c r="BC213" s="409">
        <v>0</v>
      </c>
      <c r="BD213" s="409">
        <v>0</v>
      </c>
      <c r="BE213" s="409">
        <v>0</v>
      </c>
      <c r="BF213" s="409">
        <v>0</v>
      </c>
      <c r="BG213" s="409">
        <v>3.3019329338149196E-2</v>
      </c>
      <c r="BH213" s="409">
        <v>0</v>
      </c>
      <c r="BI213" s="409">
        <v>0</v>
      </c>
      <c r="BJ213" s="409">
        <v>0</v>
      </c>
      <c r="BK213" s="409">
        <v>0</v>
      </c>
      <c r="BL213" s="409">
        <v>0</v>
      </c>
      <c r="BM213" s="409"/>
      <c r="BN213" s="409"/>
      <c r="BO213" s="409"/>
      <c r="BP213" s="409"/>
      <c r="BQ213" s="409"/>
      <c r="BR213" s="409"/>
      <c r="BS213" s="409"/>
      <c r="BT213" s="409"/>
      <c r="BU213" s="409"/>
      <c r="BV213" s="409">
        <v>0.27640657413940722</v>
      </c>
      <c r="BW213" s="409"/>
      <c r="BX213" s="409"/>
      <c r="BY213" s="409"/>
      <c r="BZ213" s="409"/>
      <c r="CA213" s="409"/>
      <c r="CB213" s="409"/>
      <c r="CC213" s="409"/>
      <c r="CD213" s="409"/>
      <c r="CE213" s="409"/>
      <c r="CF213" s="409"/>
      <c r="CG213" s="409"/>
      <c r="CH213" s="409"/>
      <c r="CI213" s="409">
        <v>0</v>
      </c>
      <c r="CJ213" s="409">
        <v>-1.2921800000000001</v>
      </c>
      <c r="CK213" s="409"/>
      <c r="CL213" s="409"/>
      <c r="CM213" s="409"/>
      <c r="CN213" s="409"/>
      <c r="CO213" s="409">
        <v>-0.15866999999999995</v>
      </c>
      <c r="CP213" s="409">
        <v>8.4600000000000074E-3</v>
      </c>
      <c r="CQ213" s="409"/>
      <c r="CR213" s="409">
        <v>1.8984033781196508E-2</v>
      </c>
      <c r="CS213" s="409">
        <v>0</v>
      </c>
      <c r="CT213" s="409">
        <v>0</v>
      </c>
      <c r="CU213" s="409">
        <v>0</v>
      </c>
      <c r="CV213" s="409">
        <v>0</v>
      </c>
      <c r="CW213" s="409">
        <v>0</v>
      </c>
      <c r="CX213" s="409">
        <v>0</v>
      </c>
      <c r="CY213" s="409">
        <v>0</v>
      </c>
      <c r="CZ213" s="409">
        <v>7.9082525886209898E-3</v>
      </c>
      <c r="DA213" s="409">
        <v>0</v>
      </c>
      <c r="DB213" s="409">
        <v>0</v>
      </c>
      <c r="DC213" s="409">
        <v>1.1149546989122017E-2</v>
      </c>
      <c r="DD213" s="409">
        <v>0</v>
      </c>
      <c r="DE213" s="409">
        <v>0</v>
      </c>
      <c r="DF213" s="409">
        <v>0</v>
      </c>
      <c r="DG213" s="409">
        <v>1.5126123980145068E-3</v>
      </c>
      <c r="DH213" s="409">
        <v>0</v>
      </c>
      <c r="DI213" s="409">
        <v>-1.8147223310069696E-4</v>
      </c>
      <c r="DJ213" s="409"/>
      <c r="DK213" s="409">
        <v>0</v>
      </c>
      <c r="DL213" s="409">
        <v>0</v>
      </c>
      <c r="DM213" s="409">
        <v>0</v>
      </c>
      <c r="DN213" s="409">
        <v>0</v>
      </c>
      <c r="DO213" s="409">
        <v>-5.6981855009199944E-5</v>
      </c>
      <c r="DP213" s="409">
        <v>-1.0112947098663005E-4</v>
      </c>
      <c r="DQ213" s="409">
        <v>0</v>
      </c>
      <c r="DR213" s="409">
        <v>-1.2467946354643498E-3</v>
      </c>
      <c r="DS213" s="409"/>
      <c r="DT213" s="409"/>
      <c r="DU213" s="409"/>
      <c r="DV213" s="409">
        <v>0.73806936332554907</v>
      </c>
      <c r="DW213" s="409">
        <v>0</v>
      </c>
      <c r="DX213" s="409">
        <v>0</v>
      </c>
      <c r="DY213" s="409">
        <v>-0.15867000000000009</v>
      </c>
      <c r="DZ213" s="409">
        <v>8.4600000000000231E-3</v>
      </c>
      <c r="EA213" s="409">
        <v>0</v>
      </c>
      <c r="EB213" s="409">
        <v>0</v>
      </c>
      <c r="EC213" s="409">
        <v>-0.16918285336225614</v>
      </c>
      <c r="ED213" s="409">
        <v>0</v>
      </c>
      <c r="EE213" s="409">
        <v>0</v>
      </c>
      <c r="EF213" s="409">
        <v>0</v>
      </c>
      <c r="EG213" s="409">
        <v>0</v>
      </c>
      <c r="EH213" s="409">
        <v>0</v>
      </c>
      <c r="EI213" s="409">
        <v>0</v>
      </c>
      <c r="EJ213" s="409">
        <v>0</v>
      </c>
      <c r="EK213" s="409">
        <v>0</v>
      </c>
      <c r="EL213" s="409">
        <v>0</v>
      </c>
      <c r="EM213" s="409">
        <v>0</v>
      </c>
      <c r="EN213" s="409">
        <v>0</v>
      </c>
      <c r="EO213" s="409">
        <v>0</v>
      </c>
      <c r="EP213" s="409">
        <v>0</v>
      </c>
      <c r="EQ213" s="409">
        <v>0</v>
      </c>
      <c r="ER213" s="409">
        <v>0</v>
      </c>
      <c r="ES213" s="409">
        <v>0</v>
      </c>
      <c r="ET213" s="409">
        <v>0</v>
      </c>
      <c r="EU213" s="409">
        <v>0</v>
      </c>
      <c r="EV213" s="409">
        <v>254</v>
      </c>
      <c r="EW213" s="409">
        <v>0</v>
      </c>
      <c r="EX213" s="409">
        <v>0</v>
      </c>
      <c r="EY213" s="409">
        <v>0</v>
      </c>
      <c r="EZ213" s="409"/>
      <c r="FA213" s="409">
        <v>0</v>
      </c>
      <c r="FB213" s="409"/>
      <c r="FC213" s="409"/>
      <c r="FD213" s="409"/>
      <c r="FE213" s="409"/>
      <c r="FF213" s="409">
        <v>0</v>
      </c>
      <c r="FG213" s="409">
        <v>0</v>
      </c>
      <c r="FH213" s="409">
        <v>0</v>
      </c>
      <c r="FI213" s="409">
        <v>0</v>
      </c>
    </row>
    <row r="214" spans="1:165">
      <c r="A214" s="409">
        <v>212</v>
      </c>
      <c r="B214" s="409" t="s">
        <v>1035</v>
      </c>
      <c r="C214" s="409" t="s">
        <v>2244</v>
      </c>
      <c r="D214" s="409" t="s">
        <v>1994</v>
      </c>
      <c r="E214" s="409" t="s">
        <v>969</v>
      </c>
      <c r="F214" s="409" t="s">
        <v>1323</v>
      </c>
      <c r="G214" s="409" t="s">
        <v>1323</v>
      </c>
      <c r="H214" s="409" t="s">
        <v>1323</v>
      </c>
      <c r="I214" s="409" t="s">
        <v>1323</v>
      </c>
      <c r="J214" s="409" t="s">
        <v>2245</v>
      </c>
      <c r="K214" s="835">
        <v>44531</v>
      </c>
      <c r="L214" s="409">
        <v>0</v>
      </c>
      <c r="M214" s="409">
        <v>0</v>
      </c>
      <c r="N214" s="409">
        <v>0.44600000000000001</v>
      </c>
      <c r="O214" s="409">
        <v>0.44600000000000001</v>
      </c>
      <c r="P214" s="409">
        <v>0.44600000000000001</v>
      </c>
      <c r="Q214" s="409">
        <v>0.44600000000000001</v>
      </c>
      <c r="R214" s="409"/>
      <c r="S214" s="409">
        <v>597.01</v>
      </c>
      <c r="T214" s="409">
        <v>243.39</v>
      </c>
      <c r="U214" s="409"/>
      <c r="V214" s="409">
        <v>374.8184</v>
      </c>
      <c r="W214" s="409">
        <v>374.8184</v>
      </c>
      <c r="X214" s="409">
        <v>339.53088000000002</v>
      </c>
      <c r="Y214" s="409">
        <v>0</v>
      </c>
      <c r="Z214" s="409">
        <v>11.09803094947813</v>
      </c>
      <c r="AA214" s="409">
        <v>0</v>
      </c>
      <c r="AB214" s="409">
        <v>0</v>
      </c>
      <c r="AC214" s="409">
        <v>0</v>
      </c>
      <c r="AD214" s="409">
        <v>52.266323261968125</v>
      </c>
      <c r="AE214" s="409">
        <v>182.87718204423197</v>
      </c>
      <c r="AF214" s="409">
        <v>108.55071118136107</v>
      </c>
      <c r="AG214" s="409">
        <v>0</v>
      </c>
      <c r="AH214" s="409">
        <v>0</v>
      </c>
      <c r="AI214" s="409">
        <v>0</v>
      </c>
      <c r="AJ214" s="409">
        <v>0</v>
      </c>
      <c r="AK214" s="409">
        <v>0</v>
      </c>
      <c r="AL214" s="409">
        <v>4.5309545081341973</v>
      </c>
      <c r="AM214" s="409"/>
      <c r="AN214" s="409">
        <v>0.7657246533901112</v>
      </c>
      <c r="AO214" s="409">
        <v>0</v>
      </c>
      <c r="AP214" s="409">
        <v>0</v>
      </c>
      <c r="AQ214" s="409">
        <v>0</v>
      </c>
      <c r="AR214" s="409">
        <v>0</v>
      </c>
      <c r="AS214" s="409">
        <v>0</v>
      </c>
      <c r="AT214" s="409">
        <v>0</v>
      </c>
      <c r="AU214" s="409">
        <v>0</v>
      </c>
      <c r="AV214" s="409">
        <v>0</v>
      </c>
      <c r="AW214" s="409">
        <v>0</v>
      </c>
      <c r="AX214" s="409">
        <v>0</v>
      </c>
      <c r="AY214" s="409">
        <v>0</v>
      </c>
      <c r="AZ214" s="409">
        <v>0</v>
      </c>
      <c r="BA214" s="409"/>
      <c r="BB214" s="409">
        <v>0</v>
      </c>
      <c r="BC214" s="409">
        <v>0</v>
      </c>
      <c r="BD214" s="409">
        <v>0</v>
      </c>
      <c r="BE214" s="409">
        <v>0</v>
      </c>
      <c r="BF214" s="409">
        <v>0</v>
      </c>
      <c r="BG214" s="409">
        <v>14.726620884814542</v>
      </c>
      <c r="BH214" s="409">
        <v>0</v>
      </c>
      <c r="BI214" s="409">
        <v>0</v>
      </c>
      <c r="BJ214" s="409">
        <v>0</v>
      </c>
      <c r="BK214" s="409">
        <v>0</v>
      </c>
      <c r="BL214" s="409">
        <v>3</v>
      </c>
      <c r="BM214" s="409"/>
      <c r="BN214" s="409"/>
      <c r="BO214" s="409"/>
      <c r="BP214" s="409"/>
      <c r="BQ214" s="409"/>
      <c r="BR214" s="409"/>
      <c r="BS214" s="409"/>
      <c r="BT214" s="409"/>
      <c r="BU214" s="409"/>
      <c r="BV214" s="409">
        <v>123.2773320661756</v>
      </c>
      <c r="BW214" s="409"/>
      <c r="BX214" s="409"/>
      <c r="BY214" s="409"/>
      <c r="BZ214" s="409"/>
      <c r="CA214" s="409"/>
      <c r="CB214" s="409"/>
      <c r="CC214" s="409"/>
      <c r="CD214" s="409"/>
      <c r="CE214" s="409"/>
      <c r="CF214" s="409"/>
      <c r="CG214" s="409"/>
      <c r="CH214" s="409"/>
      <c r="CI214" s="409">
        <v>342.57600000000002</v>
      </c>
      <c r="CJ214" s="409">
        <v>-32.272399999999948</v>
      </c>
      <c r="CK214" s="409"/>
      <c r="CL214" s="409"/>
      <c r="CM214" s="409"/>
      <c r="CN214" s="409"/>
      <c r="CO214" s="409">
        <v>-39.060679999999991</v>
      </c>
      <c r="CP214" s="409">
        <v>3.7731600000000034</v>
      </c>
      <c r="CQ214" s="409"/>
      <c r="CR214" s="409">
        <v>6.6337250628402273</v>
      </c>
      <c r="CS214" s="409">
        <v>0</v>
      </c>
      <c r="CT214" s="409">
        <v>0</v>
      </c>
      <c r="CU214" s="409">
        <v>0</v>
      </c>
      <c r="CV214" s="409">
        <v>0</v>
      </c>
      <c r="CW214" s="409">
        <v>0</v>
      </c>
      <c r="CX214" s="409">
        <v>0</v>
      </c>
      <c r="CY214" s="409">
        <v>0</v>
      </c>
      <c r="CZ214" s="409">
        <v>1.9594967721291709</v>
      </c>
      <c r="DA214" s="409">
        <v>0</v>
      </c>
      <c r="DB214" s="409">
        <v>0</v>
      </c>
      <c r="DC214" s="409">
        <v>4.9726979571484122</v>
      </c>
      <c r="DD214" s="409">
        <v>0</v>
      </c>
      <c r="DE214" s="409">
        <v>0</v>
      </c>
      <c r="DF214" s="409">
        <v>0</v>
      </c>
      <c r="DG214" s="409">
        <v>0.67462512951446918</v>
      </c>
      <c r="DH214" s="409">
        <v>0</v>
      </c>
      <c r="DI214" s="409">
        <v>-8.0936615962912128E-2</v>
      </c>
      <c r="DJ214" s="409"/>
      <c r="DK214" s="409">
        <v>0</v>
      </c>
      <c r="DL214" s="409">
        <v>0</v>
      </c>
      <c r="DM214" s="409">
        <v>0</v>
      </c>
      <c r="DN214" s="409">
        <v>0</v>
      </c>
      <c r="DO214" s="409">
        <v>-2.5413907334102426E-2</v>
      </c>
      <c r="DP214" s="409">
        <v>-4.5103744060036921E-2</v>
      </c>
      <c r="DQ214" s="409">
        <v>0</v>
      </c>
      <c r="DR214" s="409">
        <v>-0.82164052859475878</v>
      </c>
      <c r="DS214" s="409"/>
      <c r="DT214" s="409"/>
      <c r="DU214" s="409"/>
      <c r="DV214" s="409">
        <v>182.87718204423197</v>
      </c>
      <c r="DW214" s="409">
        <v>0</v>
      </c>
      <c r="DX214" s="409">
        <v>0</v>
      </c>
      <c r="DY214" s="409">
        <v>-39.060679999999991</v>
      </c>
      <c r="DZ214" s="409">
        <v>3.7731600000000043</v>
      </c>
      <c r="EA214" s="409">
        <v>0</v>
      </c>
      <c r="EB214" s="409">
        <v>0</v>
      </c>
      <c r="EC214" s="409">
        <v>-41.919750379132097</v>
      </c>
      <c r="ED214" s="409">
        <v>0</v>
      </c>
      <c r="EE214" s="409">
        <v>0</v>
      </c>
      <c r="EF214" s="409">
        <v>0</v>
      </c>
      <c r="EG214" s="409">
        <v>0</v>
      </c>
      <c r="EH214" s="409">
        <v>0</v>
      </c>
      <c r="EI214" s="409">
        <v>0</v>
      </c>
      <c r="EJ214" s="409">
        <v>0</v>
      </c>
      <c r="EK214" s="409">
        <v>0</v>
      </c>
      <c r="EL214" s="409">
        <v>0</v>
      </c>
      <c r="EM214" s="409">
        <v>0</v>
      </c>
      <c r="EN214" s="409">
        <v>0</v>
      </c>
      <c r="EO214" s="409">
        <v>0</v>
      </c>
      <c r="EP214" s="409">
        <v>0</v>
      </c>
      <c r="EQ214" s="409">
        <v>0</v>
      </c>
      <c r="ER214" s="409">
        <v>0</v>
      </c>
      <c r="ES214" s="409">
        <v>0</v>
      </c>
      <c r="ET214" s="409">
        <v>0</v>
      </c>
      <c r="EU214" s="409">
        <v>0</v>
      </c>
      <c r="EV214" s="409">
        <v>254</v>
      </c>
      <c r="EW214" s="409">
        <v>0</v>
      </c>
      <c r="EX214" s="409">
        <v>0</v>
      </c>
      <c r="EY214" s="409">
        <v>0</v>
      </c>
      <c r="EZ214" s="409"/>
      <c r="FA214" s="409">
        <v>0</v>
      </c>
      <c r="FB214" s="409"/>
      <c r="FC214" s="409"/>
      <c r="FD214" s="409"/>
      <c r="FE214" s="409"/>
      <c r="FF214" s="409">
        <v>0</v>
      </c>
      <c r="FG214" s="409">
        <v>0</v>
      </c>
      <c r="FH214" s="409">
        <v>0</v>
      </c>
      <c r="FI214" s="409">
        <v>0</v>
      </c>
    </row>
    <row r="215" spans="1:165">
      <c r="A215" s="409">
        <v>213</v>
      </c>
      <c r="B215" s="409" t="s">
        <v>1035</v>
      </c>
      <c r="C215" s="409" t="s">
        <v>2251</v>
      </c>
      <c r="D215" s="409" t="s">
        <v>596</v>
      </c>
      <c r="E215" s="409" t="s">
        <v>969</v>
      </c>
      <c r="F215" s="409" t="s">
        <v>1323</v>
      </c>
      <c r="G215" s="409" t="s">
        <v>1323</v>
      </c>
      <c r="H215" s="409" t="s">
        <v>1323</v>
      </c>
      <c r="I215" s="409" t="s">
        <v>972</v>
      </c>
      <c r="J215" s="409" t="s">
        <v>2245</v>
      </c>
      <c r="K215" s="835">
        <v>44531</v>
      </c>
      <c r="L215" s="409">
        <v>0</v>
      </c>
      <c r="M215" s="409">
        <v>0</v>
      </c>
      <c r="N215" s="409">
        <v>0.222</v>
      </c>
      <c r="O215" s="409">
        <v>0.222</v>
      </c>
      <c r="P215" s="409">
        <v>0.222</v>
      </c>
      <c r="Q215" s="409">
        <v>0.222</v>
      </c>
      <c r="R215" s="409"/>
      <c r="S215" s="409">
        <v>2773.91</v>
      </c>
      <c r="T215" s="409">
        <v>243.39</v>
      </c>
      <c r="U215" s="409"/>
      <c r="V215" s="409">
        <v>669.84059999999999</v>
      </c>
      <c r="W215" s="409">
        <v>669.84059999999999</v>
      </c>
      <c r="X215" s="409">
        <v>576.61613999999997</v>
      </c>
      <c r="Y215" s="409">
        <v>0</v>
      </c>
      <c r="Z215" s="409">
        <v>4.805994837628262</v>
      </c>
      <c r="AA215" s="409">
        <v>0</v>
      </c>
      <c r="AB215" s="409">
        <v>0</v>
      </c>
      <c r="AC215" s="409">
        <v>0</v>
      </c>
      <c r="AD215" s="409">
        <v>159.9526692771106</v>
      </c>
      <c r="AE215" s="409">
        <v>445.27553425499394</v>
      </c>
      <c r="AF215" s="409">
        <v>54.031968345879278</v>
      </c>
      <c r="AG215" s="409">
        <v>0</v>
      </c>
      <c r="AH215" s="409">
        <v>0</v>
      </c>
      <c r="AI215" s="409">
        <v>0</v>
      </c>
      <c r="AJ215" s="409">
        <v>0</v>
      </c>
      <c r="AK215" s="409">
        <v>0</v>
      </c>
      <c r="AL215" s="409">
        <v>2.2553181632416859</v>
      </c>
      <c r="AM215" s="409"/>
      <c r="AN215" s="409">
        <v>0.15399663172755348</v>
      </c>
      <c r="AO215" s="409">
        <v>0</v>
      </c>
      <c r="AP215" s="409">
        <v>0</v>
      </c>
      <c r="AQ215" s="409">
        <v>0</v>
      </c>
      <c r="AR215" s="409">
        <v>0</v>
      </c>
      <c r="AS215" s="409">
        <v>0</v>
      </c>
      <c r="AT215" s="409">
        <v>0</v>
      </c>
      <c r="AU215" s="409">
        <v>0</v>
      </c>
      <c r="AV215" s="409">
        <v>0</v>
      </c>
      <c r="AW215" s="409">
        <v>0</v>
      </c>
      <c r="AX215" s="409">
        <v>0</v>
      </c>
      <c r="AY215" s="409">
        <v>0</v>
      </c>
      <c r="AZ215" s="409">
        <v>0</v>
      </c>
      <c r="BA215" s="409"/>
      <c r="BB215" s="409">
        <v>0</v>
      </c>
      <c r="BC215" s="409">
        <v>0</v>
      </c>
      <c r="BD215" s="409">
        <v>0</v>
      </c>
      <c r="BE215" s="409">
        <v>0</v>
      </c>
      <c r="BF215" s="409">
        <v>0</v>
      </c>
      <c r="BG215" s="409">
        <v>3.3653266227121477</v>
      </c>
      <c r="BH215" s="409">
        <v>0</v>
      </c>
      <c r="BI215" s="409">
        <v>0</v>
      </c>
      <c r="BJ215" s="409">
        <v>0</v>
      </c>
      <c r="BK215" s="409">
        <v>0</v>
      </c>
      <c r="BL215" s="409">
        <v>0</v>
      </c>
      <c r="BM215" s="409"/>
      <c r="BN215" s="409"/>
      <c r="BO215" s="409"/>
      <c r="BP215" s="409"/>
      <c r="BQ215" s="409"/>
      <c r="BR215" s="409"/>
      <c r="BS215" s="409"/>
      <c r="BT215" s="409"/>
      <c r="BU215" s="409"/>
      <c r="BV215" s="409">
        <v>57.397294968591424</v>
      </c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09"/>
      <c r="CI215" s="409">
        <v>571.42140000000006</v>
      </c>
      <c r="CJ215" s="409">
        <v>-98.449199999999905</v>
      </c>
      <c r="CK215" s="409"/>
      <c r="CL215" s="409"/>
      <c r="CM215" s="409"/>
      <c r="CN215" s="409"/>
      <c r="CO215" s="409">
        <v>-95.102579999999975</v>
      </c>
      <c r="CP215" s="409">
        <v>1.8781200000000018</v>
      </c>
      <c r="CQ215" s="409"/>
      <c r="CR215" s="409">
        <v>8.8426008246004244</v>
      </c>
      <c r="CS215" s="409">
        <v>0</v>
      </c>
      <c r="CT215" s="409">
        <v>0</v>
      </c>
      <c r="CU215" s="409">
        <v>0</v>
      </c>
      <c r="CV215" s="409">
        <v>0</v>
      </c>
      <c r="CW215" s="409">
        <v>0</v>
      </c>
      <c r="CX215" s="409">
        <v>0</v>
      </c>
      <c r="CY215" s="409">
        <v>0</v>
      </c>
      <c r="CZ215" s="409">
        <v>5.9967244600499043</v>
      </c>
      <c r="DA215" s="409">
        <v>0</v>
      </c>
      <c r="DB215" s="409">
        <v>0</v>
      </c>
      <c r="DC215" s="409">
        <v>2.4751994315850823</v>
      </c>
      <c r="DD215" s="409">
        <v>0</v>
      </c>
      <c r="DE215" s="409">
        <v>0</v>
      </c>
      <c r="DF215" s="409">
        <v>0</v>
      </c>
      <c r="DG215" s="409">
        <v>0.15416529877855867</v>
      </c>
      <c r="DH215" s="409">
        <v>0</v>
      </c>
      <c r="DI215" s="409">
        <v>-3.5049547101067446E-2</v>
      </c>
      <c r="DJ215" s="409"/>
      <c r="DK215" s="409">
        <v>0</v>
      </c>
      <c r="DL215" s="409">
        <v>0</v>
      </c>
      <c r="DM215" s="409">
        <v>0</v>
      </c>
      <c r="DN215" s="409">
        <v>0</v>
      </c>
      <c r="DO215" s="409">
        <v>-1.2649971812042526E-2</v>
      </c>
      <c r="DP215" s="409">
        <v>-9.0709168534616746E-3</v>
      </c>
      <c r="DQ215" s="409">
        <v>0</v>
      </c>
      <c r="DR215" s="409">
        <v>0.27328206995347204</v>
      </c>
      <c r="DS215" s="409"/>
      <c r="DT215" s="409"/>
      <c r="DU215" s="409"/>
      <c r="DV215" s="409">
        <v>445.27553425499394</v>
      </c>
      <c r="DW215" s="409">
        <v>0</v>
      </c>
      <c r="DX215" s="409">
        <v>0</v>
      </c>
      <c r="DY215" s="409">
        <v>-95.102579999999989</v>
      </c>
      <c r="DZ215" s="409">
        <v>1.8781200000000027</v>
      </c>
      <c r="EA215" s="409">
        <v>0</v>
      </c>
      <c r="EB215" s="409">
        <v>0</v>
      </c>
      <c r="EC215" s="409">
        <v>-102.06762285624666</v>
      </c>
      <c r="ED215" s="409">
        <v>0</v>
      </c>
      <c r="EE215" s="409">
        <v>0</v>
      </c>
      <c r="EF215" s="409">
        <v>0</v>
      </c>
      <c r="EG215" s="409">
        <v>0</v>
      </c>
      <c r="EH215" s="409">
        <v>0</v>
      </c>
      <c r="EI215" s="409">
        <v>0</v>
      </c>
      <c r="EJ215" s="409">
        <v>0</v>
      </c>
      <c r="EK215" s="409">
        <v>0</v>
      </c>
      <c r="EL215" s="409">
        <v>0</v>
      </c>
      <c r="EM215" s="409">
        <v>0</v>
      </c>
      <c r="EN215" s="409">
        <v>0</v>
      </c>
      <c r="EO215" s="409">
        <v>0</v>
      </c>
      <c r="EP215" s="409">
        <v>0</v>
      </c>
      <c r="EQ215" s="409">
        <v>0</v>
      </c>
      <c r="ER215" s="409">
        <v>0</v>
      </c>
      <c r="ES215" s="409">
        <v>0</v>
      </c>
      <c r="ET215" s="409">
        <v>0</v>
      </c>
      <c r="EU215" s="409">
        <v>0</v>
      </c>
      <c r="EV215" s="409">
        <v>254</v>
      </c>
      <c r="EW215" s="409">
        <v>0</v>
      </c>
      <c r="EX215" s="409">
        <v>0</v>
      </c>
      <c r="EY215" s="409">
        <v>0</v>
      </c>
      <c r="EZ215" s="409"/>
      <c r="FA215" s="409">
        <v>0</v>
      </c>
      <c r="FB215" s="409"/>
      <c r="FC215" s="409"/>
      <c r="FD215" s="409"/>
      <c r="FE215" s="409"/>
      <c r="FF215" s="409">
        <v>0</v>
      </c>
      <c r="FG215" s="409">
        <v>0</v>
      </c>
      <c r="FH215" s="409">
        <v>0</v>
      </c>
      <c r="FI215" s="409">
        <v>0</v>
      </c>
    </row>
    <row r="216" spans="1:165">
      <c r="A216" s="409">
        <v>214</v>
      </c>
      <c r="B216" s="409" t="s">
        <v>1035</v>
      </c>
      <c r="C216" s="409" t="s">
        <v>2251</v>
      </c>
      <c r="D216" s="409" t="s">
        <v>596</v>
      </c>
      <c r="E216" s="409" t="s">
        <v>969</v>
      </c>
      <c r="F216" s="409" t="s">
        <v>1323</v>
      </c>
      <c r="G216" s="409" t="s">
        <v>1323</v>
      </c>
      <c r="H216" s="409" t="s">
        <v>1323</v>
      </c>
      <c r="I216" s="409" t="s">
        <v>2237</v>
      </c>
      <c r="J216" s="409" t="s">
        <v>2245</v>
      </c>
      <c r="K216" s="835">
        <v>44531</v>
      </c>
      <c r="L216" s="409">
        <v>0</v>
      </c>
      <c r="M216" s="409">
        <v>0</v>
      </c>
      <c r="N216" s="409">
        <v>31.911000000000001</v>
      </c>
      <c r="O216" s="409">
        <v>31.911000000000001</v>
      </c>
      <c r="P216" s="409">
        <v>31.911000000000001</v>
      </c>
      <c r="Q216" s="409">
        <v>31.911000000000001</v>
      </c>
      <c r="R216" s="409"/>
      <c r="S216" s="409">
        <v>47.66</v>
      </c>
      <c r="T216" s="409">
        <v>243.39</v>
      </c>
      <c r="U216" s="409"/>
      <c r="V216" s="409">
        <v>9287.6965500000006</v>
      </c>
      <c r="W216" s="409">
        <v>9287.6965500000006</v>
      </c>
      <c r="X216" s="409">
        <v>9573.93822</v>
      </c>
      <c r="Y216" s="409">
        <v>0</v>
      </c>
      <c r="Z216" s="409">
        <v>690.82928497097055</v>
      </c>
      <c r="AA216" s="409">
        <v>0</v>
      </c>
      <c r="AB216" s="409">
        <v>0</v>
      </c>
      <c r="AC216" s="409">
        <v>0</v>
      </c>
      <c r="AD216" s="409">
        <v>0</v>
      </c>
      <c r="AE216" s="409">
        <v>0</v>
      </c>
      <c r="AF216" s="409">
        <v>7766.7303688529437</v>
      </c>
      <c r="AG216" s="409">
        <v>0</v>
      </c>
      <c r="AH216" s="409">
        <v>0</v>
      </c>
      <c r="AI216" s="409">
        <v>0</v>
      </c>
      <c r="AJ216" s="409">
        <v>0</v>
      </c>
      <c r="AK216" s="409">
        <v>0</v>
      </c>
      <c r="AL216" s="409">
        <v>324.18674732975421</v>
      </c>
      <c r="AM216" s="409"/>
      <c r="AN216" s="409">
        <v>22.135975293053871</v>
      </c>
      <c r="AO216" s="409">
        <v>0</v>
      </c>
      <c r="AP216" s="409">
        <v>0</v>
      </c>
      <c r="AQ216" s="409">
        <v>0</v>
      </c>
      <c r="AR216" s="409">
        <v>0</v>
      </c>
      <c r="AS216" s="409">
        <v>0</v>
      </c>
      <c r="AT216" s="409">
        <v>0</v>
      </c>
      <c r="AU216" s="409">
        <v>0</v>
      </c>
      <c r="AV216" s="409">
        <v>0</v>
      </c>
      <c r="AW216" s="409">
        <v>0</v>
      </c>
      <c r="AX216" s="409">
        <v>0</v>
      </c>
      <c r="AY216" s="409">
        <v>0</v>
      </c>
      <c r="AZ216" s="409">
        <v>0</v>
      </c>
      <c r="BA216" s="409"/>
      <c r="BB216" s="409">
        <v>0</v>
      </c>
      <c r="BC216" s="409">
        <v>0</v>
      </c>
      <c r="BD216" s="409">
        <v>0</v>
      </c>
      <c r="BE216" s="409">
        <v>0</v>
      </c>
      <c r="BF216" s="409">
        <v>0</v>
      </c>
      <c r="BG216" s="409">
        <v>483.74296332147452</v>
      </c>
      <c r="BH216" s="409">
        <v>0</v>
      </c>
      <c r="BI216" s="409">
        <v>0</v>
      </c>
      <c r="BJ216" s="409">
        <v>0</v>
      </c>
      <c r="BK216" s="409">
        <v>0</v>
      </c>
      <c r="BL216" s="409">
        <v>0</v>
      </c>
      <c r="BM216" s="409"/>
      <c r="BN216" s="409"/>
      <c r="BO216" s="409"/>
      <c r="BP216" s="409"/>
      <c r="BQ216" s="409"/>
      <c r="BR216" s="409"/>
      <c r="BS216" s="409"/>
      <c r="BT216" s="409"/>
      <c r="BU216" s="409"/>
      <c r="BV216" s="409">
        <v>8250.4733321744188</v>
      </c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09"/>
      <c r="CI216" s="409">
        <v>9573.6381999999994</v>
      </c>
      <c r="CJ216" s="409">
        <v>285.91164999999819</v>
      </c>
      <c r="CK216" s="409"/>
      <c r="CL216" s="409"/>
      <c r="CM216" s="409"/>
      <c r="CN216" s="409"/>
      <c r="CO216" s="409">
        <v>16.274610000000163</v>
      </c>
      <c r="CP216" s="409">
        <v>269.96706000000029</v>
      </c>
      <c r="CQ216" s="409"/>
      <c r="CR216" s="409">
        <v>286.25703827906182</v>
      </c>
      <c r="CS216" s="409">
        <v>0</v>
      </c>
      <c r="CT216" s="409">
        <v>0</v>
      </c>
      <c r="CU216" s="409">
        <v>0</v>
      </c>
      <c r="CV216" s="409">
        <v>0</v>
      </c>
      <c r="CW216" s="409">
        <v>0</v>
      </c>
      <c r="CX216" s="409">
        <v>0</v>
      </c>
      <c r="CY216" s="409">
        <v>0</v>
      </c>
      <c r="CZ216" s="409">
        <v>0</v>
      </c>
      <c r="DA216" s="409">
        <v>0</v>
      </c>
      <c r="DB216" s="409">
        <v>0</v>
      </c>
      <c r="DC216" s="409">
        <v>355.79319396987285</v>
      </c>
      <c r="DD216" s="409">
        <v>0</v>
      </c>
      <c r="DE216" s="409">
        <v>0</v>
      </c>
      <c r="DF216" s="409">
        <v>0</v>
      </c>
      <c r="DG216" s="409">
        <v>22.160220041993625</v>
      </c>
      <c r="DH216" s="409">
        <v>0</v>
      </c>
      <c r="DI216" s="409">
        <v>-5.0381355745141718</v>
      </c>
      <c r="DJ216" s="409"/>
      <c r="DK216" s="409">
        <v>0</v>
      </c>
      <c r="DL216" s="409">
        <v>0</v>
      </c>
      <c r="DM216" s="409">
        <v>0</v>
      </c>
      <c r="DN216" s="409">
        <v>0</v>
      </c>
      <c r="DO216" s="409">
        <v>-1.8183479751985487</v>
      </c>
      <c r="DP216" s="409">
        <v>-1.303883007706375</v>
      </c>
      <c r="DQ216" s="409">
        <v>0</v>
      </c>
      <c r="DR216" s="409">
        <v>-83.536009175387832</v>
      </c>
      <c r="DS216" s="409"/>
      <c r="DT216" s="409"/>
      <c r="DU216" s="409"/>
      <c r="DV216" s="409">
        <v>0</v>
      </c>
      <c r="DW216" s="409">
        <v>0</v>
      </c>
      <c r="DX216" s="409">
        <v>0</v>
      </c>
      <c r="DY216" s="409">
        <v>16.274610000000166</v>
      </c>
      <c r="DZ216" s="409">
        <v>269.96705999999995</v>
      </c>
      <c r="EA216" s="409">
        <v>0</v>
      </c>
      <c r="EB216" s="409">
        <v>0</v>
      </c>
      <c r="EC216" s="409">
        <v>0</v>
      </c>
      <c r="ED216" s="409">
        <v>0</v>
      </c>
      <c r="EE216" s="409">
        <v>0</v>
      </c>
      <c r="EF216" s="409">
        <v>0</v>
      </c>
      <c r="EG216" s="409">
        <v>0</v>
      </c>
      <c r="EH216" s="409">
        <v>0</v>
      </c>
      <c r="EI216" s="409">
        <v>0</v>
      </c>
      <c r="EJ216" s="409">
        <v>0</v>
      </c>
      <c r="EK216" s="409">
        <v>0</v>
      </c>
      <c r="EL216" s="409">
        <v>0</v>
      </c>
      <c r="EM216" s="409">
        <v>0</v>
      </c>
      <c r="EN216" s="409">
        <v>0</v>
      </c>
      <c r="EO216" s="409">
        <v>0</v>
      </c>
      <c r="EP216" s="409">
        <v>0</v>
      </c>
      <c r="EQ216" s="409">
        <v>0</v>
      </c>
      <c r="ER216" s="409">
        <v>0</v>
      </c>
      <c r="ES216" s="409">
        <v>0</v>
      </c>
      <c r="ET216" s="409">
        <v>0</v>
      </c>
      <c r="EU216" s="409">
        <v>0</v>
      </c>
      <c r="EV216" s="409">
        <v>254</v>
      </c>
      <c r="EW216" s="409">
        <v>0</v>
      </c>
      <c r="EX216" s="409">
        <v>0</v>
      </c>
      <c r="EY216" s="409">
        <v>0</v>
      </c>
      <c r="EZ216" s="409"/>
      <c r="FA216" s="409">
        <v>0</v>
      </c>
      <c r="FB216" s="409"/>
      <c r="FC216" s="409"/>
      <c r="FD216" s="409"/>
      <c r="FE216" s="409"/>
      <c r="FF216" s="409">
        <v>0</v>
      </c>
      <c r="FG216" s="409">
        <v>0</v>
      </c>
      <c r="FH216" s="409">
        <v>0</v>
      </c>
      <c r="FI216" s="409">
        <v>0</v>
      </c>
    </row>
    <row r="217" spans="1:165">
      <c r="A217" s="409">
        <v>215</v>
      </c>
      <c r="B217" s="409" t="s">
        <v>1035</v>
      </c>
      <c r="C217" s="409" t="s">
        <v>2251</v>
      </c>
      <c r="D217" s="409" t="s">
        <v>596</v>
      </c>
      <c r="E217" s="409" t="s">
        <v>969</v>
      </c>
      <c r="F217" s="409" t="s">
        <v>1323</v>
      </c>
      <c r="G217" s="409" t="s">
        <v>1323</v>
      </c>
      <c r="H217" s="409" t="s">
        <v>1323</v>
      </c>
      <c r="I217" s="409" t="s">
        <v>1323</v>
      </c>
      <c r="J217" s="409" t="s">
        <v>2245</v>
      </c>
      <c r="K217" s="835">
        <v>44531</v>
      </c>
      <c r="L217" s="409">
        <v>120</v>
      </c>
      <c r="M217" s="409">
        <v>120</v>
      </c>
      <c r="N217" s="409">
        <v>0</v>
      </c>
      <c r="O217" s="409">
        <v>0</v>
      </c>
      <c r="P217" s="409">
        <v>0</v>
      </c>
      <c r="Q217" s="409">
        <v>0</v>
      </c>
      <c r="R217" s="409">
        <v>50.27</v>
      </c>
      <c r="S217" s="409"/>
      <c r="T217" s="409"/>
      <c r="U217" s="409">
        <v>6032.4000000000005</v>
      </c>
      <c r="V217" s="409"/>
      <c r="W217" s="409">
        <v>6032.4000000000005</v>
      </c>
      <c r="X217" s="409">
        <v>5424</v>
      </c>
      <c r="Y217" s="409">
        <v>0</v>
      </c>
      <c r="Z217" s="409">
        <v>0</v>
      </c>
      <c r="AA217" s="409">
        <v>0</v>
      </c>
      <c r="AB217" s="409">
        <v>0</v>
      </c>
      <c r="AC217" s="409">
        <v>0</v>
      </c>
      <c r="AD217" s="409">
        <v>2875.1919811512239</v>
      </c>
      <c r="AE217" s="409">
        <v>3156.6615245067596</v>
      </c>
      <c r="AF217" s="409"/>
      <c r="AG217" s="409"/>
      <c r="AH217" s="409"/>
      <c r="AI217" s="409">
        <v>0</v>
      </c>
      <c r="AJ217" s="409">
        <v>0</v>
      </c>
      <c r="AK217" s="409">
        <v>0</v>
      </c>
      <c r="AL217" s="409">
        <v>0</v>
      </c>
      <c r="AM217" s="409"/>
      <c r="AN217" s="409">
        <v>0</v>
      </c>
      <c r="AO217" s="409">
        <v>0</v>
      </c>
      <c r="AP217" s="409">
        <v>0</v>
      </c>
      <c r="AQ217" s="409">
        <v>0</v>
      </c>
      <c r="AR217" s="409">
        <v>0</v>
      </c>
      <c r="AS217" s="409"/>
      <c r="AT217" s="409"/>
      <c r="AU217" s="409">
        <v>0</v>
      </c>
      <c r="AV217" s="409">
        <v>0</v>
      </c>
      <c r="AW217" s="409">
        <v>0</v>
      </c>
      <c r="AX217" s="409"/>
      <c r="AY217" s="409"/>
      <c r="AZ217" s="409">
        <v>0</v>
      </c>
      <c r="BA217" s="409"/>
      <c r="BB217" s="409">
        <v>0</v>
      </c>
      <c r="BC217" s="409">
        <v>0</v>
      </c>
      <c r="BD217" s="409">
        <v>0</v>
      </c>
      <c r="BE217" s="409">
        <v>0</v>
      </c>
      <c r="BF217" s="409"/>
      <c r="BG217" s="409">
        <v>0</v>
      </c>
      <c r="BH217" s="409">
        <v>0</v>
      </c>
      <c r="BI217" s="409">
        <v>0</v>
      </c>
      <c r="BJ217" s="409">
        <v>0</v>
      </c>
      <c r="BK217" s="409">
        <v>0</v>
      </c>
      <c r="BL217" s="409">
        <v>1</v>
      </c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09">
        <v>0</v>
      </c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>
        <v>5424</v>
      </c>
      <c r="CJ217" s="409">
        <v>-608.4300000000012</v>
      </c>
      <c r="CK217" s="409"/>
      <c r="CL217" s="409"/>
      <c r="CM217" s="409"/>
      <c r="CN217" s="409"/>
      <c r="CO217" s="409">
        <v>-608.40000000000009</v>
      </c>
      <c r="CP217" s="409">
        <v>0</v>
      </c>
      <c r="CQ217" s="409"/>
      <c r="CR217" s="409">
        <v>116.30817949722041</v>
      </c>
      <c r="CS217" s="409">
        <v>0</v>
      </c>
      <c r="CT217" s="409">
        <v>0</v>
      </c>
      <c r="CU217" s="409">
        <v>0</v>
      </c>
      <c r="CV217" s="409">
        <v>0</v>
      </c>
      <c r="CW217" s="409"/>
      <c r="CX217" s="409"/>
      <c r="CY217" s="409"/>
      <c r="CZ217" s="409">
        <v>107.79272492689233</v>
      </c>
      <c r="DA217" s="409">
        <v>0</v>
      </c>
      <c r="DB217" s="409">
        <v>0</v>
      </c>
      <c r="DC217" s="409"/>
      <c r="DD217" s="409"/>
      <c r="DE217" s="409">
        <v>0</v>
      </c>
      <c r="DF217" s="409">
        <v>0</v>
      </c>
      <c r="DG217" s="409">
        <v>0</v>
      </c>
      <c r="DH217" s="409">
        <v>0</v>
      </c>
      <c r="DI217" s="409">
        <v>0</v>
      </c>
      <c r="DJ217" s="409"/>
      <c r="DK217" s="409">
        <v>0</v>
      </c>
      <c r="DL217" s="409">
        <v>0</v>
      </c>
      <c r="DM217" s="409"/>
      <c r="DN217" s="409">
        <v>0</v>
      </c>
      <c r="DO217" s="409">
        <v>0</v>
      </c>
      <c r="DP217" s="409">
        <v>0</v>
      </c>
      <c r="DQ217" s="409">
        <v>0</v>
      </c>
      <c r="DR217" s="409">
        <v>8.5154545703282878</v>
      </c>
      <c r="DS217" s="409"/>
      <c r="DT217" s="409"/>
      <c r="DU217" s="409">
        <v>3156.6615245067596</v>
      </c>
      <c r="DV217" s="409"/>
      <c r="DW217" s="409">
        <v>0</v>
      </c>
      <c r="DX217" s="409">
        <v>0</v>
      </c>
      <c r="DY217" s="409">
        <v>-608.40000000000055</v>
      </c>
      <c r="DZ217" s="409"/>
      <c r="EA217" s="409">
        <v>0</v>
      </c>
      <c r="EB217" s="409"/>
      <c r="EC217" s="409">
        <v>-723.58104854615976</v>
      </c>
      <c r="ED217" s="409"/>
      <c r="EE217" s="409">
        <v>0</v>
      </c>
      <c r="EF217" s="409">
        <v>0</v>
      </c>
      <c r="EG217" s="409"/>
      <c r="EH217" s="409">
        <v>0</v>
      </c>
      <c r="EI217" s="409">
        <v>0</v>
      </c>
      <c r="EJ217" s="409">
        <v>0</v>
      </c>
      <c r="EK217" s="409">
        <v>0</v>
      </c>
      <c r="EL217" s="409">
        <v>0</v>
      </c>
      <c r="EM217" s="409"/>
      <c r="EN217" s="409"/>
      <c r="EO217" s="409">
        <v>0</v>
      </c>
      <c r="EP217" s="409">
        <v>0</v>
      </c>
      <c r="EQ217" s="409"/>
      <c r="ER217" s="409">
        <v>0</v>
      </c>
      <c r="ES217" s="409"/>
      <c r="ET217" s="409">
        <v>0</v>
      </c>
      <c r="EU217" s="409"/>
      <c r="EV217" s="409">
        <v>254</v>
      </c>
      <c r="EW217" s="409"/>
      <c r="EX217" s="409"/>
      <c r="EY217" s="409"/>
      <c r="EZ217" s="409"/>
      <c r="FA217" s="409">
        <v>0</v>
      </c>
      <c r="FB217" s="409"/>
      <c r="FC217" s="409"/>
      <c r="FD217" s="409"/>
      <c r="FE217" s="409"/>
      <c r="FF217" s="409">
        <v>0</v>
      </c>
      <c r="FG217" s="409">
        <v>0</v>
      </c>
      <c r="FH217" s="409">
        <v>0</v>
      </c>
      <c r="FI217" s="409">
        <v>0</v>
      </c>
    </row>
    <row r="218" spans="1:165">
      <c r="A218" s="409">
        <v>216</v>
      </c>
      <c r="B218" s="409" t="s">
        <v>1035</v>
      </c>
      <c r="C218" s="409" t="s">
        <v>2244</v>
      </c>
      <c r="D218" s="409" t="s">
        <v>1994</v>
      </c>
      <c r="E218" s="409" t="s">
        <v>997</v>
      </c>
      <c r="F218" s="409" t="s">
        <v>1323</v>
      </c>
      <c r="G218" s="409" t="s">
        <v>1323</v>
      </c>
      <c r="H218" s="409" t="s">
        <v>1323</v>
      </c>
      <c r="I218" s="409" t="s">
        <v>1323</v>
      </c>
      <c r="J218" s="409" t="s">
        <v>2245</v>
      </c>
      <c r="K218" s="835">
        <v>44531</v>
      </c>
      <c r="L218" s="409">
        <v>0</v>
      </c>
      <c r="M218" s="409">
        <v>0</v>
      </c>
      <c r="N218" s="409">
        <v>66.42</v>
      </c>
      <c r="O218" s="409">
        <v>66.42</v>
      </c>
      <c r="P218" s="409">
        <v>66.42</v>
      </c>
      <c r="Q218" s="409">
        <v>66.42</v>
      </c>
      <c r="R218" s="409"/>
      <c r="S218" s="409">
        <v>597.01</v>
      </c>
      <c r="T218" s="409">
        <v>243.39</v>
      </c>
      <c r="U218" s="409"/>
      <c r="V218" s="409">
        <v>55819.367999999995</v>
      </c>
      <c r="W218" s="409">
        <v>55819.367999999995</v>
      </c>
      <c r="X218" s="409">
        <v>50564.217600000004</v>
      </c>
      <c r="Y218" s="409">
        <v>0</v>
      </c>
      <c r="Z218" s="409">
        <v>1652.7605732384247</v>
      </c>
      <c r="AA218" s="409">
        <v>0</v>
      </c>
      <c r="AB218" s="409">
        <v>0</v>
      </c>
      <c r="AC218" s="409">
        <v>0</v>
      </c>
      <c r="AD218" s="409">
        <v>7783.6977378025176</v>
      </c>
      <c r="AE218" s="409">
        <v>27234.758814748628</v>
      </c>
      <c r="AF218" s="409">
        <v>16165.780799699556</v>
      </c>
      <c r="AG218" s="409">
        <v>0</v>
      </c>
      <c r="AH218" s="409">
        <v>0</v>
      </c>
      <c r="AI218" s="409">
        <v>0</v>
      </c>
      <c r="AJ218" s="409">
        <v>0</v>
      </c>
      <c r="AK218" s="409">
        <v>0</v>
      </c>
      <c r="AL218" s="409">
        <v>674.7668126239314</v>
      </c>
      <c r="AM218" s="409"/>
      <c r="AN218" s="409">
        <v>114.03459972684122</v>
      </c>
      <c r="AO218" s="409">
        <v>0</v>
      </c>
      <c r="AP218" s="409">
        <v>0</v>
      </c>
      <c r="AQ218" s="409">
        <v>0</v>
      </c>
      <c r="AR218" s="409">
        <v>0</v>
      </c>
      <c r="AS218" s="409">
        <v>0</v>
      </c>
      <c r="AT218" s="409">
        <v>0</v>
      </c>
      <c r="AU218" s="409">
        <v>0</v>
      </c>
      <c r="AV218" s="409">
        <v>0</v>
      </c>
      <c r="AW218" s="409">
        <v>0</v>
      </c>
      <c r="AX218" s="409">
        <v>0</v>
      </c>
      <c r="AY218" s="409">
        <v>0</v>
      </c>
      <c r="AZ218" s="409">
        <v>0</v>
      </c>
      <c r="BA218" s="409"/>
      <c r="BB218" s="409">
        <v>0</v>
      </c>
      <c r="BC218" s="409">
        <v>0</v>
      </c>
      <c r="BD218" s="409">
        <v>0</v>
      </c>
      <c r="BE218" s="409">
        <v>0</v>
      </c>
      <c r="BF218" s="409">
        <v>0</v>
      </c>
      <c r="BG218" s="409">
        <v>2193.1438546398699</v>
      </c>
      <c r="BH218" s="409">
        <v>0</v>
      </c>
      <c r="BI218" s="409">
        <v>86.34</v>
      </c>
      <c r="BJ218" s="409">
        <v>398.79</v>
      </c>
      <c r="BK218" s="409">
        <v>4893.37</v>
      </c>
      <c r="BL218" s="409">
        <v>210</v>
      </c>
      <c r="BM218" s="409"/>
      <c r="BN218" s="409"/>
      <c r="BO218" s="409"/>
      <c r="BP218" s="409"/>
      <c r="BQ218" s="409"/>
      <c r="BR218" s="409"/>
      <c r="BS218" s="409"/>
      <c r="BT218" s="409"/>
      <c r="BU218" s="409"/>
      <c r="BV218" s="409">
        <v>18358.924654339426</v>
      </c>
      <c r="BW218" s="409"/>
      <c r="BX218" s="409"/>
      <c r="BY218" s="409"/>
      <c r="BZ218" s="409"/>
      <c r="CA218" s="409"/>
      <c r="CB218" s="409"/>
      <c r="CC218" s="409"/>
      <c r="CD218" s="409"/>
      <c r="CE218" s="409"/>
      <c r="CF218" s="409"/>
      <c r="CG218" s="409"/>
      <c r="CH218" s="409"/>
      <c r="CI218" s="409">
        <v>50564.217600000004</v>
      </c>
      <c r="CJ218" s="409">
        <v>-5255.1803999999975</v>
      </c>
      <c r="CK218" s="409"/>
      <c r="CL218" s="409"/>
      <c r="CM218" s="409"/>
      <c r="CN218" s="409"/>
      <c r="CO218" s="409">
        <v>-5817.0635999999995</v>
      </c>
      <c r="CP218" s="409">
        <v>561.91320000000053</v>
      </c>
      <c r="CQ218" s="409"/>
      <c r="CR218" s="409">
        <v>987.91932438082949</v>
      </c>
      <c r="CS218" s="409">
        <v>0</v>
      </c>
      <c r="CT218" s="409">
        <v>0</v>
      </c>
      <c r="CU218" s="409">
        <v>0</v>
      </c>
      <c r="CV218" s="409">
        <v>0</v>
      </c>
      <c r="CW218" s="409">
        <v>0</v>
      </c>
      <c r="CX218" s="409">
        <v>0</v>
      </c>
      <c r="CY218" s="409">
        <v>0</v>
      </c>
      <c r="CZ218" s="409">
        <v>291.81564036955115</v>
      </c>
      <c r="DA218" s="409">
        <v>0</v>
      </c>
      <c r="DB218" s="409">
        <v>0</v>
      </c>
      <c r="DC218" s="409">
        <v>740.5529110174848</v>
      </c>
      <c r="DD218" s="409">
        <v>0</v>
      </c>
      <c r="DE218" s="409">
        <v>0</v>
      </c>
      <c r="DF218" s="409">
        <v>0</v>
      </c>
      <c r="DG218" s="409">
        <v>100.46771547612343</v>
      </c>
      <c r="DH218" s="409">
        <v>0</v>
      </c>
      <c r="DI218" s="409">
        <v>-12.053385722548455</v>
      </c>
      <c r="DJ218" s="409"/>
      <c r="DK218" s="409">
        <v>0</v>
      </c>
      <c r="DL218" s="409">
        <v>0</v>
      </c>
      <c r="DM218" s="409">
        <v>0</v>
      </c>
      <c r="DN218" s="409">
        <v>0</v>
      </c>
      <c r="DO218" s="409">
        <v>-3.7847348097110398</v>
      </c>
      <c r="DP218" s="409">
        <v>-6.7170194629319582</v>
      </c>
      <c r="DQ218" s="409">
        <v>0</v>
      </c>
      <c r="DR218" s="409">
        <v>-122.36180248713876</v>
      </c>
      <c r="DS218" s="409"/>
      <c r="DT218" s="409"/>
      <c r="DU218" s="409"/>
      <c r="DV218" s="409">
        <v>27234.758814748628</v>
      </c>
      <c r="DW218" s="409">
        <v>0</v>
      </c>
      <c r="DX218" s="409">
        <v>0</v>
      </c>
      <c r="DY218" s="409">
        <v>-5817.063599999994</v>
      </c>
      <c r="DZ218" s="409">
        <v>561.91320000000087</v>
      </c>
      <c r="EA218" s="409">
        <v>0</v>
      </c>
      <c r="EB218" s="409">
        <v>0</v>
      </c>
      <c r="EC218" s="409">
        <v>-6242.8471304528139</v>
      </c>
      <c r="ED218" s="409">
        <v>0</v>
      </c>
      <c r="EE218" s="409">
        <v>0</v>
      </c>
      <c r="EF218" s="409">
        <v>0</v>
      </c>
      <c r="EG218" s="409">
        <v>0</v>
      </c>
      <c r="EH218" s="409">
        <v>0</v>
      </c>
      <c r="EI218" s="409">
        <v>0</v>
      </c>
      <c r="EJ218" s="409">
        <v>0</v>
      </c>
      <c r="EK218" s="409">
        <v>0</v>
      </c>
      <c r="EL218" s="409">
        <v>0</v>
      </c>
      <c r="EM218" s="409">
        <v>0</v>
      </c>
      <c r="EN218" s="409">
        <v>0</v>
      </c>
      <c r="EO218" s="409">
        <v>0</v>
      </c>
      <c r="EP218" s="409">
        <v>0</v>
      </c>
      <c r="EQ218" s="409">
        <v>0</v>
      </c>
      <c r="ER218" s="409">
        <v>0</v>
      </c>
      <c r="ES218" s="409">
        <v>0</v>
      </c>
      <c r="ET218" s="409">
        <v>0</v>
      </c>
      <c r="EU218" s="409">
        <v>0</v>
      </c>
      <c r="EV218" s="409">
        <v>254</v>
      </c>
      <c r="EW218" s="409">
        <v>0</v>
      </c>
      <c r="EX218" s="409">
        <v>0</v>
      </c>
      <c r="EY218" s="409">
        <v>0</v>
      </c>
      <c r="EZ218" s="409"/>
      <c r="FA218" s="409">
        <v>0</v>
      </c>
      <c r="FB218" s="409"/>
      <c r="FC218" s="409"/>
      <c r="FD218" s="409"/>
      <c r="FE218" s="409"/>
      <c r="FF218" s="409">
        <v>0</v>
      </c>
      <c r="FG218" s="409">
        <v>0</v>
      </c>
      <c r="FH218" s="409">
        <v>0</v>
      </c>
      <c r="FI218" s="409">
        <v>0</v>
      </c>
    </row>
    <row r="219" spans="1:165">
      <c r="A219" s="409">
        <v>217</v>
      </c>
      <c r="B219" s="409" t="s">
        <v>2246</v>
      </c>
      <c r="C219" s="409" t="s">
        <v>2244</v>
      </c>
      <c r="D219" s="409" t="s">
        <v>1994</v>
      </c>
      <c r="E219" s="409" t="s">
        <v>997</v>
      </c>
      <c r="F219" s="409" t="s">
        <v>1323</v>
      </c>
      <c r="G219" s="409" t="s">
        <v>1323</v>
      </c>
      <c r="H219" s="409" t="s">
        <v>1323</v>
      </c>
      <c r="I219" s="409" t="s">
        <v>1323</v>
      </c>
      <c r="J219" s="409" t="s">
        <v>2245</v>
      </c>
      <c r="K219" s="835">
        <v>44531</v>
      </c>
      <c r="L219" s="409">
        <v>0</v>
      </c>
      <c r="M219" s="409">
        <v>0</v>
      </c>
      <c r="N219" s="409">
        <v>5.5060000000000002</v>
      </c>
      <c r="O219" s="409">
        <v>5.5060000000000002</v>
      </c>
      <c r="P219" s="409">
        <v>5.5060000000000002</v>
      </c>
      <c r="Q219" s="409">
        <v>5.5060000000000002</v>
      </c>
      <c r="R219" s="409"/>
      <c r="S219" s="409">
        <v>597.01</v>
      </c>
      <c r="T219" s="409">
        <v>243.39</v>
      </c>
      <c r="U219" s="409"/>
      <c r="V219" s="409">
        <v>4627.2424000000001</v>
      </c>
      <c r="W219" s="409">
        <v>4627.2424000000001</v>
      </c>
      <c r="X219" s="409">
        <v>4191.6076800000001</v>
      </c>
      <c r="Y219" s="409">
        <v>0</v>
      </c>
      <c r="Z219" s="409">
        <v>137.00842692337798</v>
      </c>
      <c r="AA219" s="409">
        <v>0</v>
      </c>
      <c r="AB219" s="409">
        <v>0</v>
      </c>
      <c r="AC219" s="409">
        <v>0</v>
      </c>
      <c r="AD219" s="409">
        <v>645.24299524752576</v>
      </c>
      <c r="AE219" s="409">
        <v>2257.6721173442629</v>
      </c>
      <c r="AF219" s="409">
        <v>1340.0901698757266</v>
      </c>
      <c r="AG219" s="409">
        <v>0</v>
      </c>
      <c r="AH219" s="409">
        <v>0</v>
      </c>
      <c r="AI219" s="409">
        <v>0</v>
      </c>
      <c r="AJ219" s="409">
        <v>0</v>
      </c>
      <c r="AK219" s="409">
        <v>0</v>
      </c>
      <c r="AL219" s="409">
        <v>55.935954084723974</v>
      </c>
      <c r="AM219" s="409"/>
      <c r="AN219" s="409">
        <v>9.4530940393855438</v>
      </c>
      <c r="AO219" s="409">
        <v>0</v>
      </c>
      <c r="AP219" s="409">
        <v>0</v>
      </c>
      <c r="AQ219" s="409">
        <v>0</v>
      </c>
      <c r="AR219" s="409">
        <v>0</v>
      </c>
      <c r="AS219" s="409">
        <v>0</v>
      </c>
      <c r="AT219" s="409">
        <v>0</v>
      </c>
      <c r="AU219" s="409">
        <v>0</v>
      </c>
      <c r="AV219" s="409">
        <v>0</v>
      </c>
      <c r="AW219" s="409">
        <v>0</v>
      </c>
      <c r="AX219" s="409">
        <v>0</v>
      </c>
      <c r="AY219" s="409">
        <v>0</v>
      </c>
      <c r="AZ219" s="409">
        <v>0</v>
      </c>
      <c r="BA219" s="409"/>
      <c r="BB219" s="409">
        <v>0</v>
      </c>
      <c r="BC219" s="409">
        <v>0</v>
      </c>
      <c r="BD219" s="409">
        <v>0</v>
      </c>
      <c r="BE219" s="409">
        <v>0</v>
      </c>
      <c r="BF219" s="409">
        <v>0</v>
      </c>
      <c r="BG219" s="409">
        <v>181.80442733584948</v>
      </c>
      <c r="BH219" s="409">
        <v>0</v>
      </c>
      <c r="BI219" s="409">
        <v>0</v>
      </c>
      <c r="BJ219" s="409">
        <v>0</v>
      </c>
      <c r="BK219" s="409">
        <v>0</v>
      </c>
      <c r="BL219" s="409">
        <v>6</v>
      </c>
      <c r="BM219" s="409"/>
      <c r="BN219" s="409"/>
      <c r="BO219" s="409"/>
      <c r="BP219" s="409"/>
      <c r="BQ219" s="409"/>
      <c r="BR219" s="409"/>
      <c r="BS219" s="409"/>
      <c r="BT219" s="409"/>
      <c r="BU219" s="409"/>
      <c r="BV219" s="409">
        <v>1521.8945972115762</v>
      </c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I219" s="409">
        <v>4194.6527999999998</v>
      </c>
      <c r="CJ219" s="409">
        <v>-432.6196000000009</v>
      </c>
      <c r="CK219" s="409"/>
      <c r="CL219" s="409"/>
      <c r="CM219" s="409"/>
      <c r="CN219" s="409"/>
      <c r="CO219" s="409">
        <v>-482.21547999999996</v>
      </c>
      <c r="CP219" s="409">
        <v>46.580760000000048</v>
      </c>
      <c r="CQ219" s="409"/>
      <c r="CR219" s="409">
        <v>81.895269497754271</v>
      </c>
      <c r="CS219" s="409">
        <v>0</v>
      </c>
      <c r="CT219" s="409">
        <v>0</v>
      </c>
      <c r="CU219" s="409">
        <v>0</v>
      </c>
      <c r="CV219" s="409">
        <v>0</v>
      </c>
      <c r="CW219" s="409">
        <v>0</v>
      </c>
      <c r="CX219" s="409">
        <v>0</v>
      </c>
      <c r="CY219" s="409">
        <v>0</v>
      </c>
      <c r="CZ219" s="409">
        <v>24.190558805702381</v>
      </c>
      <c r="DA219" s="409">
        <v>0</v>
      </c>
      <c r="DB219" s="409">
        <v>0</v>
      </c>
      <c r="DC219" s="409">
        <v>61.389405722105721</v>
      </c>
      <c r="DD219" s="409">
        <v>0</v>
      </c>
      <c r="DE219" s="409">
        <v>0</v>
      </c>
      <c r="DF219" s="409">
        <v>0</v>
      </c>
      <c r="DG219" s="409">
        <v>8.3284438634678679</v>
      </c>
      <c r="DH219" s="409">
        <v>0</v>
      </c>
      <c r="DI219" s="409">
        <v>-0.99918611545243152</v>
      </c>
      <c r="DJ219" s="409"/>
      <c r="DK219" s="409">
        <v>0</v>
      </c>
      <c r="DL219" s="409">
        <v>0</v>
      </c>
      <c r="DM219" s="409">
        <v>0</v>
      </c>
      <c r="DN219" s="409">
        <v>0</v>
      </c>
      <c r="DO219" s="409">
        <v>-0.31374209368065209</v>
      </c>
      <c r="DP219" s="409">
        <v>-0.55681886725238527</v>
      </c>
      <c r="DQ219" s="409">
        <v>0</v>
      </c>
      <c r="DR219" s="409">
        <v>-10.143391817136195</v>
      </c>
      <c r="DS219" s="409"/>
      <c r="DT219" s="409"/>
      <c r="DU219" s="409"/>
      <c r="DV219" s="409">
        <v>2257.6721173442629</v>
      </c>
      <c r="DW219" s="409">
        <v>0</v>
      </c>
      <c r="DX219" s="409">
        <v>0</v>
      </c>
      <c r="DY219" s="409">
        <v>-482.21547999999984</v>
      </c>
      <c r="DZ219" s="409">
        <v>46.580760000000055</v>
      </c>
      <c r="EA219" s="409">
        <v>0</v>
      </c>
      <c r="EB219" s="409">
        <v>0</v>
      </c>
      <c r="EC219" s="409">
        <v>-517.51153719170725</v>
      </c>
      <c r="ED219" s="409">
        <v>0</v>
      </c>
      <c r="EE219" s="409">
        <v>0</v>
      </c>
      <c r="EF219" s="409">
        <v>0</v>
      </c>
      <c r="EG219" s="409">
        <v>0</v>
      </c>
      <c r="EH219" s="409">
        <v>0</v>
      </c>
      <c r="EI219" s="409">
        <v>0</v>
      </c>
      <c r="EJ219" s="409">
        <v>0</v>
      </c>
      <c r="EK219" s="409">
        <v>0</v>
      </c>
      <c r="EL219" s="409">
        <v>0</v>
      </c>
      <c r="EM219" s="409">
        <v>0</v>
      </c>
      <c r="EN219" s="409">
        <v>0</v>
      </c>
      <c r="EO219" s="409">
        <v>0</v>
      </c>
      <c r="EP219" s="409">
        <v>0</v>
      </c>
      <c r="EQ219" s="409">
        <v>0</v>
      </c>
      <c r="ER219" s="409">
        <v>0</v>
      </c>
      <c r="ES219" s="409">
        <v>0</v>
      </c>
      <c r="ET219" s="409">
        <v>0</v>
      </c>
      <c r="EU219" s="409">
        <v>0</v>
      </c>
      <c r="EV219" s="409">
        <v>254</v>
      </c>
      <c r="EW219" s="409">
        <v>0</v>
      </c>
      <c r="EX219" s="409">
        <v>0</v>
      </c>
      <c r="EY219" s="409">
        <v>0</v>
      </c>
      <c r="EZ219" s="409"/>
      <c r="FA219" s="409">
        <v>0</v>
      </c>
      <c r="FB219" s="409"/>
      <c r="FC219" s="409"/>
      <c r="FD219" s="409"/>
      <c r="FE219" s="409"/>
      <c r="FF219" s="409">
        <v>0</v>
      </c>
      <c r="FG219" s="409">
        <v>0</v>
      </c>
      <c r="FH219" s="409">
        <v>0</v>
      </c>
      <c r="FI219" s="409">
        <v>0</v>
      </c>
    </row>
    <row r="220" spans="1:165">
      <c r="A220" s="409">
        <v>218</v>
      </c>
      <c r="B220" s="409" t="s">
        <v>1035</v>
      </c>
      <c r="C220" s="409" t="s">
        <v>2252</v>
      </c>
      <c r="D220" s="409" t="s">
        <v>1994</v>
      </c>
      <c r="E220" s="409" t="s">
        <v>997</v>
      </c>
      <c r="F220" s="409" t="s">
        <v>1323</v>
      </c>
      <c r="G220" s="409" t="s">
        <v>1323</v>
      </c>
      <c r="H220" s="409" t="s">
        <v>1323</v>
      </c>
      <c r="I220" s="409" t="s">
        <v>972</v>
      </c>
      <c r="J220" s="409" t="s">
        <v>2245</v>
      </c>
      <c r="K220" s="835">
        <v>44531</v>
      </c>
      <c r="L220" s="409">
        <v>0</v>
      </c>
      <c r="M220" s="409">
        <v>0</v>
      </c>
      <c r="N220" s="409">
        <v>1.7000000000000001E-2</v>
      </c>
      <c r="O220" s="409">
        <v>1.7000000000000001E-2</v>
      </c>
      <c r="P220" s="409">
        <v>1.7000000000000001E-2</v>
      </c>
      <c r="Q220" s="409">
        <v>1.7000000000000001E-2</v>
      </c>
      <c r="R220" s="409"/>
      <c r="S220" s="409">
        <v>1783.27</v>
      </c>
      <c r="T220" s="409">
        <v>243.39</v>
      </c>
      <c r="U220" s="409"/>
      <c r="V220" s="409">
        <v>34.453220000000002</v>
      </c>
      <c r="W220" s="409">
        <v>34.453220000000002</v>
      </c>
      <c r="X220" s="409">
        <v>29.709540000000001</v>
      </c>
      <c r="Y220" s="409">
        <v>0</v>
      </c>
      <c r="Z220" s="409">
        <v>0.42301911690835925</v>
      </c>
      <c r="AA220" s="409">
        <v>0</v>
      </c>
      <c r="AB220" s="409">
        <v>0</v>
      </c>
      <c r="AC220" s="409">
        <v>0</v>
      </c>
      <c r="AD220" s="409">
        <v>6.474699315267066</v>
      </c>
      <c r="AE220" s="409">
        <v>22.654637658390399</v>
      </c>
      <c r="AF220" s="409">
        <v>4.1375831616213858</v>
      </c>
      <c r="AG220" s="409">
        <v>0</v>
      </c>
      <c r="AH220" s="409">
        <v>0</v>
      </c>
      <c r="AI220" s="409">
        <v>0</v>
      </c>
      <c r="AJ220" s="409">
        <v>0</v>
      </c>
      <c r="AK220" s="409">
        <v>0</v>
      </c>
      <c r="AL220" s="409">
        <v>0.17270454403202101</v>
      </c>
      <c r="AM220" s="409"/>
      <c r="AN220" s="409">
        <v>2.91868141426724E-2</v>
      </c>
      <c r="AO220" s="409">
        <v>0</v>
      </c>
      <c r="AP220" s="409">
        <v>0</v>
      </c>
      <c r="AQ220" s="409">
        <v>0</v>
      </c>
      <c r="AR220" s="409">
        <v>0</v>
      </c>
      <c r="AS220" s="409">
        <v>0</v>
      </c>
      <c r="AT220" s="409">
        <v>0</v>
      </c>
      <c r="AU220" s="409">
        <v>0</v>
      </c>
      <c r="AV220" s="409">
        <v>0</v>
      </c>
      <c r="AW220" s="409">
        <v>0</v>
      </c>
      <c r="AX220" s="409">
        <v>0</v>
      </c>
      <c r="AY220" s="409">
        <v>0</v>
      </c>
      <c r="AZ220" s="409">
        <v>0</v>
      </c>
      <c r="BA220" s="409"/>
      <c r="BB220" s="409">
        <v>0</v>
      </c>
      <c r="BC220" s="409">
        <v>0</v>
      </c>
      <c r="BD220" s="409">
        <v>0</v>
      </c>
      <c r="BE220" s="409">
        <v>0</v>
      </c>
      <c r="BF220" s="409">
        <v>0</v>
      </c>
      <c r="BG220" s="409">
        <v>0.56132859874853647</v>
      </c>
      <c r="BH220" s="409">
        <v>0</v>
      </c>
      <c r="BI220" s="409">
        <v>0</v>
      </c>
      <c r="BJ220" s="409">
        <v>0</v>
      </c>
      <c r="BK220" s="409">
        <v>0</v>
      </c>
      <c r="BL220" s="409">
        <v>0</v>
      </c>
      <c r="BM220" s="409"/>
      <c r="BN220" s="409"/>
      <c r="BO220" s="409"/>
      <c r="BP220" s="409"/>
      <c r="BQ220" s="409"/>
      <c r="BR220" s="409"/>
      <c r="BS220" s="409"/>
      <c r="BT220" s="409"/>
      <c r="BU220" s="409"/>
      <c r="BV220" s="409">
        <v>4.6989117603699224</v>
      </c>
      <c r="BW220" s="409"/>
      <c r="BX220" s="409"/>
      <c r="BY220" s="409"/>
      <c r="BZ220" s="409"/>
      <c r="CA220" s="409"/>
      <c r="CB220" s="409"/>
      <c r="CC220" s="409"/>
      <c r="CD220" s="409"/>
      <c r="CE220" s="409"/>
      <c r="CF220" s="409"/>
      <c r="CG220" s="409"/>
      <c r="CH220" s="409"/>
      <c r="CI220" s="409">
        <v>34.952400000000004</v>
      </c>
      <c r="CJ220" s="409">
        <v>0.46918000000000148</v>
      </c>
      <c r="CK220" s="409"/>
      <c r="CL220" s="409"/>
      <c r="CM220" s="409"/>
      <c r="CN220" s="409"/>
      <c r="CO220" s="409">
        <v>-4.8875000000000002</v>
      </c>
      <c r="CP220" s="409">
        <v>0.14382000000000014</v>
      </c>
      <c r="CQ220" s="409"/>
      <c r="CR220" s="409">
        <v>0.44937609481582008</v>
      </c>
      <c r="CS220" s="409">
        <v>0</v>
      </c>
      <c r="CT220" s="409">
        <v>0</v>
      </c>
      <c r="CU220" s="409">
        <v>0</v>
      </c>
      <c r="CV220" s="409">
        <v>0</v>
      </c>
      <c r="CW220" s="409">
        <v>0</v>
      </c>
      <c r="CX220" s="409">
        <v>0</v>
      </c>
      <c r="CY220" s="409">
        <v>0</v>
      </c>
      <c r="CZ220" s="409">
        <v>0.24274048023582484</v>
      </c>
      <c r="DA220" s="409">
        <v>0</v>
      </c>
      <c r="DB220" s="409">
        <v>0</v>
      </c>
      <c r="DC220" s="409">
        <v>0.18954229881507434</v>
      </c>
      <c r="DD220" s="409">
        <v>0</v>
      </c>
      <c r="DE220" s="409">
        <v>0</v>
      </c>
      <c r="DF220" s="409">
        <v>0</v>
      </c>
      <c r="DG220" s="409">
        <v>2.5714410766246476E-2</v>
      </c>
      <c r="DH220" s="409">
        <v>0</v>
      </c>
      <c r="DI220" s="409">
        <v>-3.0850279627118726E-3</v>
      </c>
      <c r="DJ220" s="409"/>
      <c r="DK220" s="409">
        <v>0</v>
      </c>
      <c r="DL220" s="409">
        <v>0</v>
      </c>
      <c r="DM220" s="409">
        <v>0</v>
      </c>
      <c r="DN220" s="409">
        <v>0</v>
      </c>
      <c r="DO220" s="409">
        <v>-9.6869153515641293E-4</v>
      </c>
      <c r="DP220" s="409">
        <v>-1.7192010067727075E-3</v>
      </c>
      <c r="DQ220" s="409">
        <v>0</v>
      </c>
      <c r="DR220" s="409">
        <v>-2.8481744966845218E-3</v>
      </c>
      <c r="DS220" s="409"/>
      <c r="DT220" s="409"/>
      <c r="DU220" s="409"/>
      <c r="DV220" s="409">
        <v>22.654637658390399</v>
      </c>
      <c r="DW220" s="409">
        <v>0</v>
      </c>
      <c r="DX220" s="409">
        <v>0</v>
      </c>
      <c r="DY220" s="409">
        <v>-4.8874999999999993</v>
      </c>
      <c r="DZ220" s="409">
        <v>0.14382000000000073</v>
      </c>
      <c r="EA220" s="409">
        <v>0</v>
      </c>
      <c r="EB220" s="409">
        <v>0</v>
      </c>
      <c r="EC220" s="409">
        <v>-5.1929756624296672</v>
      </c>
      <c r="ED220" s="409">
        <v>0</v>
      </c>
      <c r="EE220" s="409">
        <v>0</v>
      </c>
      <c r="EF220" s="409">
        <v>0</v>
      </c>
      <c r="EG220" s="409">
        <v>0</v>
      </c>
      <c r="EH220" s="409">
        <v>0</v>
      </c>
      <c r="EI220" s="409">
        <v>0</v>
      </c>
      <c r="EJ220" s="409">
        <v>0</v>
      </c>
      <c r="EK220" s="409">
        <v>0</v>
      </c>
      <c r="EL220" s="409">
        <v>0</v>
      </c>
      <c r="EM220" s="409">
        <v>0</v>
      </c>
      <c r="EN220" s="409">
        <v>0</v>
      </c>
      <c r="EO220" s="409">
        <v>0</v>
      </c>
      <c r="EP220" s="409">
        <v>0</v>
      </c>
      <c r="EQ220" s="409">
        <v>0</v>
      </c>
      <c r="ER220" s="409">
        <v>0</v>
      </c>
      <c r="ES220" s="409">
        <v>0</v>
      </c>
      <c r="ET220" s="409">
        <v>0</v>
      </c>
      <c r="EU220" s="409">
        <v>0</v>
      </c>
      <c r="EV220" s="409">
        <v>254</v>
      </c>
      <c r="EW220" s="409">
        <v>0</v>
      </c>
      <c r="EX220" s="409">
        <v>0</v>
      </c>
      <c r="EY220" s="409">
        <v>0</v>
      </c>
      <c r="EZ220" s="409"/>
      <c r="FA220" s="409">
        <v>0</v>
      </c>
      <c r="FB220" s="409"/>
      <c r="FC220" s="409"/>
      <c r="FD220" s="409"/>
      <c r="FE220" s="409"/>
      <c r="FF220" s="409">
        <v>0</v>
      </c>
      <c r="FG220" s="409">
        <v>0</v>
      </c>
      <c r="FH220" s="409">
        <v>0</v>
      </c>
      <c r="FI220" s="409">
        <v>0</v>
      </c>
    </row>
    <row r="221" spans="1:165">
      <c r="A221" s="409">
        <v>219</v>
      </c>
      <c r="B221" s="409" t="s">
        <v>1035</v>
      </c>
      <c r="C221" s="409" t="s">
        <v>2252</v>
      </c>
      <c r="D221" s="409" t="s">
        <v>1994</v>
      </c>
      <c r="E221" s="409" t="s">
        <v>997</v>
      </c>
      <c r="F221" s="409" t="s">
        <v>1323</v>
      </c>
      <c r="G221" s="409" t="s">
        <v>1323</v>
      </c>
      <c r="H221" s="409" t="s">
        <v>1323</v>
      </c>
      <c r="I221" s="409" t="s">
        <v>2237</v>
      </c>
      <c r="J221" s="409" t="s">
        <v>2245</v>
      </c>
      <c r="K221" s="835">
        <v>44531</v>
      </c>
      <c r="L221" s="409">
        <v>0</v>
      </c>
      <c r="M221" s="409">
        <v>0</v>
      </c>
      <c r="N221" s="409">
        <v>0.56599999999999995</v>
      </c>
      <c r="O221" s="409">
        <v>0.56599999999999995</v>
      </c>
      <c r="P221" s="409">
        <v>0.56599999999999995</v>
      </c>
      <c r="Q221" s="409">
        <v>0.56599999999999995</v>
      </c>
      <c r="R221" s="409"/>
      <c r="S221" s="409">
        <v>412.48</v>
      </c>
      <c r="T221" s="409">
        <v>243.39</v>
      </c>
      <c r="U221" s="409"/>
      <c r="V221" s="409">
        <v>371.22241999999994</v>
      </c>
      <c r="W221" s="409">
        <v>371.22241999999994</v>
      </c>
      <c r="X221" s="409">
        <v>344.04309999999998</v>
      </c>
      <c r="Y221" s="409">
        <v>0</v>
      </c>
      <c r="Z221" s="409">
        <v>14.08404824530184</v>
      </c>
      <c r="AA221" s="409">
        <v>0</v>
      </c>
      <c r="AB221" s="409">
        <v>0</v>
      </c>
      <c r="AC221" s="409">
        <v>0</v>
      </c>
      <c r="AD221" s="409">
        <v>43.114560856773572</v>
      </c>
      <c r="AE221" s="409">
        <v>150.85329797318914</v>
      </c>
      <c r="AF221" s="409">
        <v>137.75718055751202</v>
      </c>
      <c r="AG221" s="409">
        <v>0</v>
      </c>
      <c r="AH221" s="409">
        <v>0</v>
      </c>
      <c r="AI221" s="409">
        <v>0</v>
      </c>
      <c r="AJ221" s="409">
        <v>0</v>
      </c>
      <c r="AK221" s="409">
        <v>0</v>
      </c>
      <c r="AL221" s="409">
        <v>5.750045407183757</v>
      </c>
      <c r="AM221" s="409"/>
      <c r="AN221" s="409">
        <v>0.9717492238089751</v>
      </c>
      <c r="AO221" s="409">
        <v>0</v>
      </c>
      <c r="AP221" s="409">
        <v>0</v>
      </c>
      <c r="AQ221" s="409">
        <v>0</v>
      </c>
      <c r="AR221" s="409">
        <v>0</v>
      </c>
      <c r="AS221" s="409">
        <v>0</v>
      </c>
      <c r="AT221" s="409">
        <v>0</v>
      </c>
      <c r="AU221" s="409">
        <v>0</v>
      </c>
      <c r="AV221" s="409">
        <v>0</v>
      </c>
      <c r="AW221" s="409">
        <v>0</v>
      </c>
      <c r="AX221" s="409">
        <v>0</v>
      </c>
      <c r="AY221" s="409">
        <v>0</v>
      </c>
      <c r="AZ221" s="409">
        <v>0</v>
      </c>
      <c r="BA221" s="409"/>
      <c r="BB221" s="409">
        <v>0</v>
      </c>
      <c r="BC221" s="409">
        <v>0</v>
      </c>
      <c r="BD221" s="409">
        <v>0</v>
      </c>
      <c r="BE221" s="409">
        <v>0</v>
      </c>
      <c r="BF221" s="409">
        <v>0</v>
      </c>
      <c r="BG221" s="409">
        <v>18.688940405392444</v>
      </c>
      <c r="BH221" s="409">
        <v>0</v>
      </c>
      <c r="BI221" s="409">
        <v>0</v>
      </c>
      <c r="BJ221" s="409">
        <v>0</v>
      </c>
      <c r="BK221" s="409">
        <v>0</v>
      </c>
      <c r="BL221" s="409">
        <v>0</v>
      </c>
      <c r="BM221" s="409"/>
      <c r="BN221" s="409"/>
      <c r="BO221" s="409"/>
      <c r="BP221" s="409"/>
      <c r="BQ221" s="409"/>
      <c r="BR221" s="409"/>
      <c r="BS221" s="409"/>
      <c r="BT221" s="409"/>
      <c r="BU221" s="409"/>
      <c r="BV221" s="409">
        <v>156.44612096290444</v>
      </c>
      <c r="BW221" s="409"/>
      <c r="BX221" s="409"/>
      <c r="BY221" s="409"/>
      <c r="BZ221" s="409"/>
      <c r="CA221" s="409"/>
      <c r="CB221" s="409"/>
      <c r="CC221" s="409"/>
      <c r="CD221" s="409"/>
      <c r="CE221" s="409"/>
      <c r="CF221" s="409"/>
      <c r="CG221" s="409"/>
      <c r="CH221" s="409"/>
      <c r="CI221" s="409">
        <v>346.47449999999998</v>
      </c>
      <c r="CJ221" s="409">
        <v>-24.777919999999938</v>
      </c>
      <c r="CK221" s="409"/>
      <c r="CL221" s="409"/>
      <c r="CM221" s="409"/>
      <c r="CN221" s="409"/>
      <c r="CO221" s="409">
        <v>-31.967680000000009</v>
      </c>
      <c r="CP221" s="409">
        <v>4.7883600000000044</v>
      </c>
      <c r="CQ221" s="409"/>
      <c r="CR221" s="409">
        <v>7.4008126392327256</v>
      </c>
      <c r="CS221" s="409">
        <v>0</v>
      </c>
      <c r="CT221" s="409">
        <v>0</v>
      </c>
      <c r="CU221" s="409">
        <v>0</v>
      </c>
      <c r="CV221" s="409">
        <v>0</v>
      </c>
      <c r="CW221" s="409">
        <v>0</v>
      </c>
      <c r="CX221" s="409">
        <v>0</v>
      </c>
      <c r="CY221" s="409">
        <v>0</v>
      </c>
      <c r="CZ221" s="409">
        <v>1.6163915415890884</v>
      </c>
      <c r="DA221" s="409">
        <v>0</v>
      </c>
      <c r="DB221" s="409">
        <v>0</v>
      </c>
      <c r="DC221" s="409">
        <v>6.3106435958430609</v>
      </c>
      <c r="DD221" s="409">
        <v>0</v>
      </c>
      <c r="DE221" s="409">
        <v>0</v>
      </c>
      <c r="DF221" s="409">
        <v>0</v>
      </c>
      <c r="DG221" s="409">
        <v>0.85613861727620844</v>
      </c>
      <c r="DH221" s="409">
        <v>0</v>
      </c>
      <c r="DI221" s="409">
        <v>-0.10271328393499601</v>
      </c>
      <c r="DJ221" s="409"/>
      <c r="DK221" s="409">
        <v>0</v>
      </c>
      <c r="DL221" s="409">
        <v>0</v>
      </c>
      <c r="DM221" s="409">
        <v>0</v>
      </c>
      <c r="DN221" s="409">
        <v>0</v>
      </c>
      <c r="DO221" s="409">
        <v>-3.2251729935206974E-2</v>
      </c>
      <c r="DP221" s="409">
        <v>-5.7239280578432528E-2</v>
      </c>
      <c r="DQ221" s="409">
        <v>0</v>
      </c>
      <c r="DR221" s="409">
        <v>-1.1901568210269964</v>
      </c>
      <c r="DS221" s="409"/>
      <c r="DT221" s="409"/>
      <c r="DU221" s="409"/>
      <c r="DV221" s="409">
        <v>150.85329797318914</v>
      </c>
      <c r="DW221" s="409">
        <v>0</v>
      </c>
      <c r="DX221" s="409">
        <v>0</v>
      </c>
      <c r="DY221" s="409">
        <v>-31.967680000000001</v>
      </c>
      <c r="DZ221" s="409">
        <v>4.7883599999999831</v>
      </c>
      <c r="EA221" s="409">
        <v>0</v>
      </c>
      <c r="EB221" s="409">
        <v>0</v>
      </c>
      <c r="EC221" s="409">
        <v>-34.579123126336057</v>
      </c>
      <c r="ED221" s="409">
        <v>0</v>
      </c>
      <c r="EE221" s="409">
        <v>0</v>
      </c>
      <c r="EF221" s="409">
        <v>0</v>
      </c>
      <c r="EG221" s="409">
        <v>0</v>
      </c>
      <c r="EH221" s="409">
        <v>0</v>
      </c>
      <c r="EI221" s="409">
        <v>0</v>
      </c>
      <c r="EJ221" s="409">
        <v>0</v>
      </c>
      <c r="EK221" s="409">
        <v>0</v>
      </c>
      <c r="EL221" s="409">
        <v>0</v>
      </c>
      <c r="EM221" s="409">
        <v>0</v>
      </c>
      <c r="EN221" s="409">
        <v>0</v>
      </c>
      <c r="EO221" s="409">
        <v>0</v>
      </c>
      <c r="EP221" s="409">
        <v>0</v>
      </c>
      <c r="EQ221" s="409">
        <v>0</v>
      </c>
      <c r="ER221" s="409">
        <v>0</v>
      </c>
      <c r="ES221" s="409">
        <v>0</v>
      </c>
      <c r="ET221" s="409">
        <v>0</v>
      </c>
      <c r="EU221" s="409">
        <v>0</v>
      </c>
      <c r="EV221" s="409">
        <v>254</v>
      </c>
      <c r="EW221" s="409">
        <v>0</v>
      </c>
      <c r="EX221" s="409">
        <v>0</v>
      </c>
      <c r="EY221" s="409">
        <v>0</v>
      </c>
      <c r="EZ221" s="409"/>
      <c r="FA221" s="409">
        <v>0</v>
      </c>
      <c r="FB221" s="409"/>
      <c r="FC221" s="409"/>
      <c r="FD221" s="409"/>
      <c r="FE221" s="409"/>
      <c r="FF221" s="409">
        <v>0</v>
      </c>
      <c r="FG221" s="409">
        <v>0</v>
      </c>
      <c r="FH221" s="409">
        <v>0</v>
      </c>
      <c r="FI221" s="409">
        <v>0</v>
      </c>
    </row>
    <row r="222" spans="1:165">
      <c r="A222" s="409">
        <v>220</v>
      </c>
      <c r="B222" s="409" t="s">
        <v>1035</v>
      </c>
      <c r="C222" s="409" t="s">
        <v>2252</v>
      </c>
      <c r="D222" s="409" t="s">
        <v>1994</v>
      </c>
      <c r="E222" s="409" t="s">
        <v>997</v>
      </c>
      <c r="F222" s="409" t="s">
        <v>1323</v>
      </c>
      <c r="G222" s="409" t="s">
        <v>1323</v>
      </c>
      <c r="H222" s="409" t="s">
        <v>1323</v>
      </c>
      <c r="I222" s="409" t="s">
        <v>1323</v>
      </c>
      <c r="J222" s="409" t="s">
        <v>2245</v>
      </c>
      <c r="K222" s="835">
        <v>44531</v>
      </c>
      <c r="L222" s="409">
        <v>0</v>
      </c>
      <c r="M222" s="409">
        <v>0</v>
      </c>
      <c r="N222" s="409">
        <v>0</v>
      </c>
      <c r="O222" s="409">
        <v>0</v>
      </c>
      <c r="P222" s="409">
        <v>0</v>
      </c>
      <c r="Q222" s="409">
        <v>0</v>
      </c>
      <c r="R222" s="409"/>
      <c r="S222" s="409"/>
      <c r="T222" s="409"/>
      <c r="U222" s="409"/>
      <c r="V222" s="409"/>
      <c r="W222" s="409"/>
      <c r="X222" s="409"/>
      <c r="Y222" s="409"/>
      <c r="Z222" s="409"/>
      <c r="AA222" s="409">
        <v>0</v>
      </c>
      <c r="AB222" s="409"/>
      <c r="AC222" s="409"/>
      <c r="AD222" s="409"/>
      <c r="AE222" s="409"/>
      <c r="AF222" s="409"/>
      <c r="AG222" s="409"/>
      <c r="AH222" s="409"/>
      <c r="AI222" s="409"/>
      <c r="AJ222" s="409"/>
      <c r="AK222" s="409"/>
      <c r="AL222" s="409"/>
      <c r="AM222" s="409"/>
      <c r="AN222" s="409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09">
        <v>0</v>
      </c>
      <c r="BA222" s="409"/>
      <c r="BB222" s="409"/>
      <c r="BC222" s="409"/>
      <c r="BD222" s="409"/>
      <c r="BE222" s="409"/>
      <c r="BF222" s="409"/>
      <c r="BG222" s="409"/>
      <c r="BH222" s="409"/>
      <c r="BI222" s="409">
        <v>0</v>
      </c>
      <c r="BJ222" s="409">
        <v>0</v>
      </c>
      <c r="BK222" s="409">
        <v>0</v>
      </c>
      <c r="BL222" s="409">
        <v>1</v>
      </c>
      <c r="BM222" s="409"/>
      <c r="BN222" s="409"/>
      <c r="BO222" s="409"/>
      <c r="BP222" s="409"/>
      <c r="BQ222" s="409"/>
      <c r="BR222" s="409"/>
      <c r="BS222" s="409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09"/>
      <c r="CI222" s="409"/>
      <c r="CJ222" s="409">
        <v>-0.03</v>
      </c>
      <c r="CK222" s="409"/>
      <c r="CL222" s="409"/>
      <c r="CM222" s="409"/>
      <c r="CN222" s="409"/>
      <c r="CO222" s="409">
        <v>0</v>
      </c>
      <c r="CP222" s="409">
        <v>0</v>
      </c>
      <c r="CQ222" s="409"/>
      <c r="CR222" s="409"/>
      <c r="CS222" s="409"/>
      <c r="CT222" s="409"/>
      <c r="CU222" s="409"/>
      <c r="CV222" s="409"/>
      <c r="CW222" s="409"/>
      <c r="CX222" s="409"/>
      <c r="CY222" s="409"/>
      <c r="CZ222" s="409"/>
      <c r="DA222" s="409"/>
      <c r="DB222" s="409"/>
      <c r="DC222" s="409"/>
      <c r="DD222" s="409"/>
      <c r="DE222" s="409"/>
      <c r="DF222" s="409"/>
      <c r="DG222" s="409"/>
      <c r="DH222" s="409"/>
      <c r="DI222" s="409"/>
      <c r="DJ222" s="409"/>
      <c r="DK222" s="409">
        <v>0</v>
      </c>
      <c r="DL222" s="409"/>
      <c r="DM222" s="409"/>
      <c r="DN222" s="409"/>
      <c r="DO222" s="409"/>
      <c r="DP222" s="409"/>
      <c r="DQ222" s="409"/>
      <c r="DR222" s="409"/>
      <c r="DS222" s="409"/>
      <c r="DT222" s="409"/>
      <c r="DU222" s="409"/>
      <c r="DV222" s="409"/>
      <c r="DW222" s="409"/>
      <c r="DX222" s="409"/>
      <c r="DY222" s="409"/>
      <c r="DZ222" s="409"/>
      <c r="EA222" s="409"/>
      <c r="EB222" s="409"/>
      <c r="EC222" s="409"/>
      <c r="ED222" s="409"/>
      <c r="EE222" s="409"/>
      <c r="EF222" s="409"/>
      <c r="EG222" s="409"/>
      <c r="EH222" s="409"/>
      <c r="EI222" s="409"/>
      <c r="EJ222" s="409"/>
      <c r="EK222" s="409"/>
      <c r="EL222" s="409"/>
      <c r="EM222" s="409"/>
      <c r="EN222" s="409"/>
      <c r="EO222" s="409"/>
      <c r="EP222" s="409"/>
      <c r="EQ222" s="409"/>
      <c r="ER222" s="409"/>
      <c r="ES222" s="409"/>
      <c r="ET222" s="409"/>
      <c r="EU222" s="409"/>
      <c r="EV222" s="409">
        <v>254</v>
      </c>
      <c r="EW222" s="409"/>
      <c r="EX222" s="409"/>
      <c r="EY222" s="409"/>
      <c r="EZ222" s="409"/>
      <c r="FA222" s="409">
        <v>0</v>
      </c>
      <c r="FB222" s="409"/>
      <c r="FC222" s="409"/>
      <c r="FD222" s="409"/>
      <c r="FE222" s="409"/>
      <c r="FF222" s="409">
        <v>0</v>
      </c>
      <c r="FG222" s="409">
        <v>0</v>
      </c>
      <c r="FH222" s="409">
        <v>0</v>
      </c>
      <c r="FI222" s="409">
        <v>0</v>
      </c>
    </row>
    <row r="223" spans="1:165">
      <c r="A223" s="409">
        <v>221</v>
      </c>
      <c r="B223" s="409" t="s">
        <v>1035</v>
      </c>
      <c r="C223" s="409" t="s">
        <v>2252</v>
      </c>
      <c r="D223" s="409" t="s">
        <v>1994</v>
      </c>
      <c r="E223" s="409" t="s">
        <v>997</v>
      </c>
      <c r="F223" s="409" t="s">
        <v>1323</v>
      </c>
      <c r="G223" s="409" t="s">
        <v>1323</v>
      </c>
      <c r="H223" s="409" t="s">
        <v>1323</v>
      </c>
      <c r="I223" s="409" t="s">
        <v>2253</v>
      </c>
      <c r="J223" s="409" t="s">
        <v>2245</v>
      </c>
      <c r="K223" s="835">
        <v>44531</v>
      </c>
      <c r="L223" s="409">
        <v>0</v>
      </c>
      <c r="M223" s="409">
        <v>0</v>
      </c>
      <c r="N223" s="409">
        <v>0.02</v>
      </c>
      <c r="O223" s="409">
        <v>0.02</v>
      </c>
      <c r="P223" s="409">
        <v>0.02</v>
      </c>
      <c r="Q223" s="409">
        <v>0.02</v>
      </c>
      <c r="R223" s="409"/>
      <c r="S223" s="409">
        <v>1097.8699999999999</v>
      </c>
      <c r="T223" s="409">
        <v>243.39</v>
      </c>
      <c r="U223" s="409"/>
      <c r="V223" s="409">
        <v>26.825199999999999</v>
      </c>
      <c r="W223" s="409">
        <v>26.825199999999999</v>
      </c>
      <c r="X223" s="409">
        <v>23.554600000000001</v>
      </c>
      <c r="Y223" s="409">
        <v>0</v>
      </c>
      <c r="Z223" s="409">
        <v>0.49766954930395202</v>
      </c>
      <c r="AA223" s="409">
        <v>0</v>
      </c>
      <c r="AB223" s="409">
        <v>0</v>
      </c>
      <c r="AC223" s="409">
        <v>0</v>
      </c>
      <c r="AD223" s="409">
        <v>4.5704111421745806</v>
      </c>
      <c r="AE223" s="409">
        <v>15.991506309996321</v>
      </c>
      <c r="AF223" s="409">
        <v>4.8677448960251599</v>
      </c>
      <c r="AG223" s="409">
        <v>0</v>
      </c>
      <c r="AH223" s="409">
        <v>0</v>
      </c>
      <c r="AI223" s="409">
        <v>0</v>
      </c>
      <c r="AJ223" s="409">
        <v>0</v>
      </c>
      <c r="AK223" s="409">
        <v>0</v>
      </c>
      <c r="AL223" s="409">
        <v>0.20318181650825998</v>
      </c>
      <c r="AM223" s="409"/>
      <c r="AN223" s="409">
        <v>3.4337428403144001E-2</v>
      </c>
      <c r="AO223" s="409">
        <v>0</v>
      </c>
      <c r="AP223" s="409">
        <v>0</v>
      </c>
      <c r="AQ223" s="409">
        <v>0</v>
      </c>
      <c r="AR223" s="409">
        <v>0</v>
      </c>
      <c r="AS223" s="409">
        <v>0</v>
      </c>
      <c r="AT223" s="409">
        <v>0</v>
      </c>
      <c r="AU223" s="409">
        <v>0</v>
      </c>
      <c r="AV223" s="409">
        <v>0</v>
      </c>
      <c r="AW223" s="409">
        <v>0</v>
      </c>
      <c r="AX223" s="409">
        <v>0</v>
      </c>
      <c r="AY223" s="409">
        <v>0</v>
      </c>
      <c r="AZ223" s="409">
        <v>0</v>
      </c>
      <c r="BA223" s="409"/>
      <c r="BB223" s="409">
        <v>0</v>
      </c>
      <c r="BC223" s="409">
        <v>0</v>
      </c>
      <c r="BD223" s="409">
        <v>0</v>
      </c>
      <c r="BE223" s="409">
        <v>0</v>
      </c>
      <c r="BF223" s="409">
        <v>0</v>
      </c>
      <c r="BG223" s="409">
        <v>0.66038658676298401</v>
      </c>
      <c r="BH223" s="409">
        <v>0</v>
      </c>
      <c r="BI223" s="409">
        <v>0</v>
      </c>
      <c r="BJ223" s="409">
        <v>0</v>
      </c>
      <c r="BK223" s="409">
        <v>0</v>
      </c>
      <c r="BL223" s="409">
        <v>0</v>
      </c>
      <c r="BM223" s="409"/>
      <c r="BN223" s="409"/>
      <c r="BO223" s="409"/>
      <c r="BP223" s="409"/>
      <c r="BQ223" s="409"/>
      <c r="BR223" s="409"/>
      <c r="BS223" s="409"/>
      <c r="BT223" s="409"/>
      <c r="BU223" s="409"/>
      <c r="BV223" s="409">
        <v>5.5281314827881438</v>
      </c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09"/>
      <c r="CI223" s="409">
        <v>23.554600000000001</v>
      </c>
      <c r="CJ223" s="409">
        <v>-3.3006000000000029</v>
      </c>
      <c r="CK223" s="409"/>
      <c r="CL223" s="409"/>
      <c r="CM223" s="409"/>
      <c r="CN223" s="409"/>
      <c r="CO223" s="409">
        <v>-3.4397999999999982</v>
      </c>
      <c r="CP223" s="409">
        <v>0.16920000000000016</v>
      </c>
      <c r="CQ223" s="409"/>
      <c r="CR223" s="409">
        <v>0.39509618080559328</v>
      </c>
      <c r="CS223" s="409">
        <v>0</v>
      </c>
      <c r="CT223" s="409">
        <v>0</v>
      </c>
      <c r="CU223" s="409">
        <v>0</v>
      </c>
      <c r="CV223" s="409">
        <v>0</v>
      </c>
      <c r="CW223" s="409">
        <v>0</v>
      </c>
      <c r="CX223" s="409">
        <v>0</v>
      </c>
      <c r="CY223" s="409">
        <v>0</v>
      </c>
      <c r="CZ223" s="409">
        <v>0.17134753932289915</v>
      </c>
      <c r="DA223" s="409">
        <v>0</v>
      </c>
      <c r="DB223" s="409">
        <v>0</v>
      </c>
      <c r="DC223" s="409">
        <v>0.22299093978243967</v>
      </c>
      <c r="DD223" s="409">
        <v>0</v>
      </c>
      <c r="DE223" s="409">
        <v>0</v>
      </c>
      <c r="DF223" s="409">
        <v>0</v>
      </c>
      <c r="DG223" s="409">
        <v>3.0252247960290024E-2</v>
      </c>
      <c r="DH223" s="409">
        <v>0</v>
      </c>
      <c r="DI223" s="409">
        <v>-3.6294446620139809E-3</v>
      </c>
      <c r="DJ223" s="409"/>
      <c r="DK223" s="409">
        <v>0</v>
      </c>
      <c r="DL223" s="409">
        <v>0</v>
      </c>
      <c r="DM223" s="409">
        <v>0</v>
      </c>
      <c r="DN223" s="409">
        <v>0</v>
      </c>
      <c r="DO223" s="409">
        <v>-1.1396371001839711E-3</v>
      </c>
      <c r="DP223" s="409">
        <v>-2.0225894197326011E-3</v>
      </c>
      <c r="DQ223" s="409">
        <v>0</v>
      </c>
      <c r="DR223" s="409">
        <v>-2.2702875078107001E-2</v>
      </c>
      <c r="DS223" s="409"/>
      <c r="DT223" s="409"/>
      <c r="DU223" s="409"/>
      <c r="DV223" s="409">
        <v>15.991506309996321</v>
      </c>
      <c r="DW223" s="409">
        <v>0</v>
      </c>
      <c r="DX223" s="409">
        <v>0</v>
      </c>
      <c r="DY223" s="409">
        <v>-3.4397999999999982</v>
      </c>
      <c r="DZ223" s="409">
        <v>0.16920000000000002</v>
      </c>
      <c r="EA223" s="409">
        <v>0</v>
      </c>
      <c r="EB223" s="409">
        <v>0</v>
      </c>
      <c r="EC223" s="409">
        <v>-3.6656292775728794</v>
      </c>
      <c r="ED223" s="409">
        <v>0</v>
      </c>
      <c r="EE223" s="409">
        <v>0</v>
      </c>
      <c r="EF223" s="409">
        <v>0</v>
      </c>
      <c r="EG223" s="409">
        <v>0</v>
      </c>
      <c r="EH223" s="409">
        <v>0</v>
      </c>
      <c r="EI223" s="409">
        <v>0</v>
      </c>
      <c r="EJ223" s="409">
        <v>0</v>
      </c>
      <c r="EK223" s="409">
        <v>0</v>
      </c>
      <c r="EL223" s="409">
        <v>0</v>
      </c>
      <c r="EM223" s="409">
        <v>0</v>
      </c>
      <c r="EN223" s="409">
        <v>0</v>
      </c>
      <c r="EO223" s="409">
        <v>0</v>
      </c>
      <c r="EP223" s="409">
        <v>0</v>
      </c>
      <c r="EQ223" s="409">
        <v>0</v>
      </c>
      <c r="ER223" s="409">
        <v>0</v>
      </c>
      <c r="ES223" s="409">
        <v>0</v>
      </c>
      <c r="ET223" s="409">
        <v>0</v>
      </c>
      <c r="EU223" s="409">
        <v>0</v>
      </c>
      <c r="EV223" s="409">
        <v>254</v>
      </c>
      <c r="EW223" s="409">
        <v>0</v>
      </c>
      <c r="EX223" s="409">
        <v>0</v>
      </c>
      <c r="EY223" s="409">
        <v>0</v>
      </c>
      <c r="EZ223" s="409"/>
      <c r="FA223" s="409">
        <v>0</v>
      </c>
      <c r="FB223" s="409"/>
      <c r="FC223" s="409"/>
      <c r="FD223" s="409"/>
      <c r="FE223" s="409"/>
      <c r="FF223" s="409">
        <v>0</v>
      </c>
      <c r="FG223" s="409">
        <v>0</v>
      </c>
      <c r="FH223" s="409">
        <v>0</v>
      </c>
      <c r="FI223" s="409">
        <v>0</v>
      </c>
    </row>
    <row r="224" spans="1:165">
      <c r="A224" s="409">
        <v>222</v>
      </c>
      <c r="B224" s="409" t="s">
        <v>1035</v>
      </c>
      <c r="C224" s="409" t="s">
        <v>2244</v>
      </c>
      <c r="D224" s="409" t="s">
        <v>2254</v>
      </c>
      <c r="E224" s="409" t="s">
        <v>973</v>
      </c>
      <c r="F224" s="409" t="s">
        <v>1323</v>
      </c>
      <c r="G224" s="409" t="s">
        <v>1323</v>
      </c>
      <c r="H224" s="409" t="s">
        <v>1323</v>
      </c>
      <c r="I224" s="409" t="s">
        <v>1323</v>
      </c>
      <c r="J224" s="409" t="s">
        <v>2245</v>
      </c>
      <c r="K224" s="835">
        <v>44531</v>
      </c>
      <c r="L224" s="409">
        <v>0</v>
      </c>
      <c r="M224" s="409">
        <v>0</v>
      </c>
      <c r="N224" s="409">
        <v>212.27</v>
      </c>
      <c r="O224" s="409">
        <v>212.27</v>
      </c>
      <c r="P224" s="409">
        <v>212.27</v>
      </c>
      <c r="Q224" s="409">
        <v>212.27</v>
      </c>
      <c r="R224" s="409"/>
      <c r="S224" s="409">
        <v>597.01</v>
      </c>
      <c r="T224" s="409">
        <v>243.39</v>
      </c>
      <c r="U224" s="409"/>
      <c r="V224" s="409">
        <v>178391.70800000001</v>
      </c>
      <c r="W224" s="409">
        <v>178391.70800000001</v>
      </c>
      <c r="X224" s="409">
        <v>161596.9056</v>
      </c>
      <c r="Y224" s="409">
        <v>0</v>
      </c>
      <c r="Z224" s="409">
        <v>5282.0157615374947</v>
      </c>
      <c r="AA224" s="409">
        <v>0</v>
      </c>
      <c r="AB224" s="409">
        <v>0</v>
      </c>
      <c r="AC224" s="409">
        <v>0</v>
      </c>
      <c r="AD224" s="409">
        <v>24875.722956990972</v>
      </c>
      <c r="AE224" s="409">
        <v>87038.877651410599</v>
      </c>
      <c r="AF224" s="409">
        <v>51663.810453963037</v>
      </c>
      <c r="AG224" s="409">
        <v>0</v>
      </c>
      <c r="AH224" s="409">
        <v>0</v>
      </c>
      <c r="AI224" s="409">
        <v>0</v>
      </c>
      <c r="AJ224" s="409">
        <v>0</v>
      </c>
      <c r="AK224" s="409">
        <v>0</v>
      </c>
      <c r="AL224" s="409">
        <v>2156.4702095104176</v>
      </c>
      <c r="AM224" s="409"/>
      <c r="AN224" s="409">
        <v>364.44029635676884</v>
      </c>
      <c r="AO224" s="409">
        <v>0</v>
      </c>
      <c r="AP224" s="409">
        <v>0</v>
      </c>
      <c r="AQ224" s="409">
        <v>0</v>
      </c>
      <c r="AR224" s="409">
        <v>0</v>
      </c>
      <c r="AS224" s="409">
        <v>0</v>
      </c>
      <c r="AT224" s="409">
        <v>0</v>
      </c>
      <c r="AU224" s="409">
        <v>0</v>
      </c>
      <c r="AV224" s="409">
        <v>0</v>
      </c>
      <c r="AW224" s="409">
        <v>0</v>
      </c>
      <c r="AX224" s="409">
        <v>0</v>
      </c>
      <c r="AY224" s="409">
        <v>0</v>
      </c>
      <c r="AZ224" s="409">
        <v>0</v>
      </c>
      <c r="BA224" s="409"/>
      <c r="BB224" s="409">
        <v>0</v>
      </c>
      <c r="BC224" s="409">
        <v>0</v>
      </c>
      <c r="BD224" s="409">
        <v>0</v>
      </c>
      <c r="BE224" s="409">
        <v>0</v>
      </c>
      <c r="BF224" s="409">
        <v>0</v>
      </c>
      <c r="BG224" s="409">
        <v>7009.0130386089304</v>
      </c>
      <c r="BH224" s="409">
        <v>0</v>
      </c>
      <c r="BI224" s="409">
        <v>118.84</v>
      </c>
      <c r="BJ224" s="409">
        <v>548.99</v>
      </c>
      <c r="BK224" s="409">
        <v>0</v>
      </c>
      <c r="BL224" s="409">
        <v>1736</v>
      </c>
      <c r="BM224" s="409"/>
      <c r="BN224" s="409"/>
      <c r="BO224" s="409"/>
      <c r="BP224" s="409"/>
      <c r="BQ224" s="409"/>
      <c r="BR224" s="409">
        <v>19392.987199999996</v>
      </c>
      <c r="BS224" s="409"/>
      <c r="BT224" s="409"/>
      <c r="BU224" s="409"/>
      <c r="BV224" s="409">
        <v>58672.823492571966</v>
      </c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>
        <v>142203.91840000002</v>
      </c>
      <c r="CJ224" s="409">
        <v>-14780.39009999999</v>
      </c>
      <c r="CK224" s="409"/>
      <c r="CL224" s="409"/>
      <c r="CM224" s="409"/>
      <c r="CN224" s="409"/>
      <c r="CO224" s="409">
        <v>-18590.606599999999</v>
      </c>
      <c r="CP224" s="409">
        <v>1795.8042000000019</v>
      </c>
      <c r="CQ224" s="409"/>
      <c r="CR224" s="409">
        <v>3157.2664105136791</v>
      </c>
      <c r="CS224" s="409">
        <v>0</v>
      </c>
      <c r="CT224" s="409">
        <v>0</v>
      </c>
      <c r="CU224" s="409">
        <v>0</v>
      </c>
      <c r="CV224" s="409">
        <v>0</v>
      </c>
      <c r="CW224" s="409">
        <v>0</v>
      </c>
      <c r="CX224" s="409">
        <v>0</v>
      </c>
      <c r="CY224" s="409">
        <v>0</v>
      </c>
      <c r="CZ224" s="409">
        <v>932.60623277995546</v>
      </c>
      <c r="DA224" s="409">
        <v>0</v>
      </c>
      <c r="DB224" s="409">
        <v>0</v>
      </c>
      <c r="DC224" s="409">
        <v>2366.7143393809238</v>
      </c>
      <c r="DD224" s="409">
        <v>0</v>
      </c>
      <c r="DE224" s="409">
        <v>0</v>
      </c>
      <c r="DF224" s="409">
        <v>0</v>
      </c>
      <c r="DG224" s="409">
        <v>321.08223372653902</v>
      </c>
      <c r="DH224" s="409">
        <v>0</v>
      </c>
      <c r="DI224" s="409">
        <v>-38.521110920285537</v>
      </c>
      <c r="DJ224" s="409"/>
      <c r="DK224" s="409">
        <v>0</v>
      </c>
      <c r="DL224" s="409">
        <v>0</v>
      </c>
      <c r="DM224" s="409">
        <v>0</v>
      </c>
      <c r="DN224" s="409">
        <v>0</v>
      </c>
      <c r="DO224" s="409">
        <v>-12.095538362802927</v>
      </c>
      <c r="DP224" s="409">
        <v>-21.466752806331954</v>
      </c>
      <c r="DQ224" s="409">
        <v>0</v>
      </c>
      <c r="DR224" s="409">
        <v>-391.05299328432613</v>
      </c>
      <c r="DS224" s="409"/>
      <c r="DT224" s="409"/>
      <c r="DU224" s="409"/>
      <c r="DV224" s="409">
        <v>87038.877651410599</v>
      </c>
      <c r="DW224" s="409">
        <v>0</v>
      </c>
      <c r="DX224" s="409">
        <v>0</v>
      </c>
      <c r="DY224" s="409">
        <v>-18590.606599999999</v>
      </c>
      <c r="DZ224" s="409">
        <v>1795.8042000000059</v>
      </c>
      <c r="EA224" s="409">
        <v>0</v>
      </c>
      <c r="EB224" s="409">
        <v>0</v>
      </c>
      <c r="EC224" s="409">
        <v>-19951.357428202638</v>
      </c>
      <c r="ED224" s="409">
        <v>0</v>
      </c>
      <c r="EE224" s="409">
        <v>0</v>
      </c>
      <c r="EF224" s="409">
        <v>0</v>
      </c>
      <c r="EG224" s="409">
        <v>0</v>
      </c>
      <c r="EH224" s="409">
        <v>0</v>
      </c>
      <c r="EI224" s="409">
        <v>0</v>
      </c>
      <c r="EJ224" s="409">
        <v>0</v>
      </c>
      <c r="EK224" s="409">
        <v>0</v>
      </c>
      <c r="EL224" s="409">
        <v>0</v>
      </c>
      <c r="EM224" s="409">
        <v>0</v>
      </c>
      <c r="EN224" s="409">
        <v>0</v>
      </c>
      <c r="EO224" s="409">
        <v>0</v>
      </c>
      <c r="EP224" s="409">
        <v>0</v>
      </c>
      <c r="EQ224" s="409">
        <v>0</v>
      </c>
      <c r="ER224" s="409">
        <v>0</v>
      </c>
      <c r="ES224" s="409">
        <v>0</v>
      </c>
      <c r="ET224" s="409">
        <v>0</v>
      </c>
      <c r="EU224" s="409">
        <v>0</v>
      </c>
      <c r="EV224" s="409">
        <v>254</v>
      </c>
      <c r="EW224" s="409">
        <v>0</v>
      </c>
      <c r="EX224" s="409">
        <v>0</v>
      </c>
      <c r="EY224" s="409">
        <v>0</v>
      </c>
      <c r="EZ224" s="409"/>
      <c r="FA224" s="409">
        <v>0</v>
      </c>
      <c r="FB224" s="409"/>
      <c r="FC224" s="409"/>
      <c r="FD224" s="409"/>
      <c r="FE224" s="409"/>
      <c r="FF224" s="409">
        <v>0</v>
      </c>
      <c r="FG224" s="409">
        <v>0</v>
      </c>
      <c r="FH224" s="409">
        <v>0</v>
      </c>
      <c r="FI224" s="409">
        <v>0</v>
      </c>
    </row>
    <row r="225" spans="1:165">
      <c r="A225" s="409">
        <v>223</v>
      </c>
      <c r="B225" s="409" t="s">
        <v>2246</v>
      </c>
      <c r="C225" s="409" t="s">
        <v>2244</v>
      </c>
      <c r="D225" s="409" t="s">
        <v>2254</v>
      </c>
      <c r="E225" s="409" t="s">
        <v>973</v>
      </c>
      <c r="F225" s="409" t="s">
        <v>1323</v>
      </c>
      <c r="G225" s="409" t="s">
        <v>1323</v>
      </c>
      <c r="H225" s="409" t="s">
        <v>1323</v>
      </c>
      <c r="I225" s="409" t="s">
        <v>1323</v>
      </c>
      <c r="J225" s="409" t="s">
        <v>2245</v>
      </c>
      <c r="K225" s="835">
        <v>44531</v>
      </c>
      <c r="L225" s="409">
        <v>0</v>
      </c>
      <c r="M225" s="409">
        <v>0</v>
      </c>
      <c r="N225" s="409">
        <v>0.88800000000000001</v>
      </c>
      <c r="O225" s="409">
        <v>0.88800000000000001</v>
      </c>
      <c r="P225" s="409">
        <v>0.88800000000000001</v>
      </c>
      <c r="Q225" s="409">
        <v>0.88800000000000001</v>
      </c>
      <c r="R225" s="409"/>
      <c r="S225" s="409">
        <v>597.01</v>
      </c>
      <c r="T225" s="409">
        <v>243.39</v>
      </c>
      <c r="U225" s="409"/>
      <c r="V225" s="409">
        <v>746.27519999999993</v>
      </c>
      <c r="W225" s="409">
        <v>746.27519999999993</v>
      </c>
      <c r="X225" s="409">
        <v>676.01664000000005</v>
      </c>
      <c r="Y225" s="409">
        <v>0</v>
      </c>
      <c r="Z225" s="409">
        <v>22.09652798909547</v>
      </c>
      <c r="AA225" s="409">
        <v>0</v>
      </c>
      <c r="AB225" s="409">
        <v>0</v>
      </c>
      <c r="AC225" s="409">
        <v>0</v>
      </c>
      <c r="AD225" s="409">
        <v>104.06389026149708</v>
      </c>
      <c r="AE225" s="409">
        <v>364.11420998941259</v>
      </c>
      <c r="AF225" s="409">
        <v>216.12787338351711</v>
      </c>
      <c r="AG225" s="409">
        <v>0</v>
      </c>
      <c r="AH225" s="409">
        <v>0</v>
      </c>
      <c r="AI225" s="409">
        <v>0</v>
      </c>
      <c r="AJ225" s="409">
        <v>0</v>
      </c>
      <c r="AK225" s="409">
        <v>0</v>
      </c>
      <c r="AL225" s="409">
        <v>9.0212726529667435</v>
      </c>
      <c r="AM225" s="409"/>
      <c r="AN225" s="409">
        <v>1.5245818210995936</v>
      </c>
      <c r="AO225" s="409">
        <v>0</v>
      </c>
      <c r="AP225" s="409">
        <v>0</v>
      </c>
      <c r="AQ225" s="409">
        <v>0</v>
      </c>
      <c r="AR225" s="409">
        <v>0</v>
      </c>
      <c r="AS225" s="409">
        <v>0</v>
      </c>
      <c r="AT225" s="409">
        <v>0</v>
      </c>
      <c r="AU225" s="409">
        <v>0</v>
      </c>
      <c r="AV225" s="409">
        <v>0</v>
      </c>
      <c r="AW225" s="409">
        <v>0</v>
      </c>
      <c r="AX225" s="409">
        <v>0</v>
      </c>
      <c r="AY225" s="409">
        <v>0</v>
      </c>
      <c r="AZ225" s="409">
        <v>0</v>
      </c>
      <c r="BA225" s="409"/>
      <c r="BB225" s="409">
        <v>0</v>
      </c>
      <c r="BC225" s="409">
        <v>0</v>
      </c>
      <c r="BD225" s="409">
        <v>0</v>
      </c>
      <c r="BE225" s="409">
        <v>0</v>
      </c>
      <c r="BF225" s="409">
        <v>0</v>
      </c>
      <c r="BG225" s="409">
        <v>29.321164452276488</v>
      </c>
      <c r="BH225" s="409">
        <v>0</v>
      </c>
      <c r="BI225" s="409">
        <v>0</v>
      </c>
      <c r="BJ225" s="409">
        <v>0</v>
      </c>
      <c r="BK225" s="409">
        <v>0</v>
      </c>
      <c r="BL225" s="409">
        <v>8</v>
      </c>
      <c r="BM225" s="409"/>
      <c r="BN225" s="409"/>
      <c r="BO225" s="409"/>
      <c r="BP225" s="409"/>
      <c r="BQ225" s="409"/>
      <c r="BR225" s="409">
        <v>81.127679999999984</v>
      </c>
      <c r="BS225" s="409"/>
      <c r="BT225" s="409"/>
      <c r="BU225" s="409"/>
      <c r="BV225" s="409">
        <v>245.4490378357936</v>
      </c>
      <c r="BW225" s="409"/>
      <c r="BX225" s="409"/>
      <c r="BY225" s="409"/>
      <c r="BZ225" s="409"/>
      <c r="CA225" s="409"/>
      <c r="CB225" s="409"/>
      <c r="CC225" s="409"/>
      <c r="CD225" s="409"/>
      <c r="CE225" s="409"/>
      <c r="CF225" s="409"/>
      <c r="CG225" s="409"/>
      <c r="CH225" s="409"/>
      <c r="CI225" s="409">
        <v>596.22880000000009</v>
      </c>
      <c r="CJ225" s="409">
        <v>-60.521599999999921</v>
      </c>
      <c r="CK225" s="409"/>
      <c r="CL225" s="409"/>
      <c r="CM225" s="409"/>
      <c r="CN225" s="409"/>
      <c r="CO225" s="409">
        <v>-77.771039999999985</v>
      </c>
      <c r="CP225" s="409">
        <v>7.5124800000000072</v>
      </c>
      <c r="CQ225" s="409"/>
      <c r="CR225" s="409">
        <v>13.207954833637018</v>
      </c>
      <c r="CS225" s="409">
        <v>0</v>
      </c>
      <c r="CT225" s="409">
        <v>0</v>
      </c>
      <c r="CU225" s="409">
        <v>0</v>
      </c>
      <c r="CV225" s="409">
        <v>0</v>
      </c>
      <c r="CW225" s="409">
        <v>0</v>
      </c>
      <c r="CX225" s="409">
        <v>0</v>
      </c>
      <c r="CY225" s="409">
        <v>0</v>
      </c>
      <c r="CZ225" s="409">
        <v>3.901419582176473</v>
      </c>
      <c r="DA225" s="409">
        <v>0</v>
      </c>
      <c r="DB225" s="409">
        <v>0</v>
      </c>
      <c r="DC225" s="409">
        <v>9.9007977263403291</v>
      </c>
      <c r="DD225" s="409">
        <v>0</v>
      </c>
      <c r="DE225" s="409">
        <v>0</v>
      </c>
      <c r="DF225" s="409">
        <v>0</v>
      </c>
      <c r="DG225" s="409">
        <v>1.3431998094368787</v>
      </c>
      <c r="DH225" s="409">
        <v>0</v>
      </c>
      <c r="DI225" s="409">
        <v>-0.16114734299342004</v>
      </c>
      <c r="DJ225" s="409"/>
      <c r="DK225" s="409">
        <v>0</v>
      </c>
      <c r="DL225" s="409">
        <v>0</v>
      </c>
      <c r="DM225" s="409">
        <v>0</v>
      </c>
      <c r="DN225" s="409">
        <v>0</v>
      </c>
      <c r="DO225" s="409">
        <v>-5.0599887248170106E-2</v>
      </c>
      <c r="DP225" s="409">
        <v>-8.9802970236127377E-2</v>
      </c>
      <c r="DQ225" s="409">
        <v>0</v>
      </c>
      <c r="DR225" s="409">
        <v>-1.6359120838388921</v>
      </c>
      <c r="DS225" s="409"/>
      <c r="DT225" s="409"/>
      <c r="DU225" s="409"/>
      <c r="DV225" s="409">
        <v>364.11420998941259</v>
      </c>
      <c r="DW225" s="409">
        <v>0</v>
      </c>
      <c r="DX225" s="409">
        <v>0</v>
      </c>
      <c r="DY225" s="409">
        <v>-77.771039999999914</v>
      </c>
      <c r="DZ225" s="409">
        <v>7.5124800000000107</v>
      </c>
      <c r="EA225" s="409">
        <v>0</v>
      </c>
      <c r="EB225" s="409">
        <v>0</v>
      </c>
      <c r="EC225" s="409">
        <v>-83.46353887145591</v>
      </c>
      <c r="ED225" s="409">
        <v>0</v>
      </c>
      <c r="EE225" s="409">
        <v>0</v>
      </c>
      <c r="EF225" s="409">
        <v>0</v>
      </c>
      <c r="EG225" s="409">
        <v>0</v>
      </c>
      <c r="EH225" s="409">
        <v>0</v>
      </c>
      <c r="EI225" s="409">
        <v>0</v>
      </c>
      <c r="EJ225" s="409">
        <v>0</v>
      </c>
      <c r="EK225" s="409">
        <v>0</v>
      </c>
      <c r="EL225" s="409">
        <v>0</v>
      </c>
      <c r="EM225" s="409">
        <v>0</v>
      </c>
      <c r="EN225" s="409">
        <v>0</v>
      </c>
      <c r="EO225" s="409">
        <v>0</v>
      </c>
      <c r="EP225" s="409">
        <v>0</v>
      </c>
      <c r="EQ225" s="409">
        <v>0</v>
      </c>
      <c r="ER225" s="409">
        <v>0</v>
      </c>
      <c r="ES225" s="409">
        <v>0</v>
      </c>
      <c r="ET225" s="409">
        <v>0</v>
      </c>
      <c r="EU225" s="409">
        <v>0</v>
      </c>
      <c r="EV225" s="409">
        <v>254</v>
      </c>
      <c r="EW225" s="409">
        <v>0</v>
      </c>
      <c r="EX225" s="409">
        <v>0</v>
      </c>
      <c r="EY225" s="409">
        <v>0</v>
      </c>
      <c r="EZ225" s="409"/>
      <c r="FA225" s="409">
        <v>0</v>
      </c>
      <c r="FB225" s="409"/>
      <c r="FC225" s="409"/>
      <c r="FD225" s="409"/>
      <c r="FE225" s="409"/>
      <c r="FF225" s="409">
        <v>0</v>
      </c>
      <c r="FG225" s="409">
        <v>0</v>
      </c>
      <c r="FH225" s="409">
        <v>0</v>
      </c>
      <c r="FI225" s="409">
        <v>0</v>
      </c>
    </row>
    <row r="226" spans="1:165">
      <c r="A226" s="409">
        <v>224</v>
      </c>
      <c r="B226" s="409" t="s">
        <v>1035</v>
      </c>
      <c r="C226" s="409" t="s">
        <v>2252</v>
      </c>
      <c r="D226" s="409" t="s">
        <v>2254</v>
      </c>
      <c r="E226" s="409" t="s">
        <v>973</v>
      </c>
      <c r="F226" s="409" t="s">
        <v>1323</v>
      </c>
      <c r="G226" s="409" t="s">
        <v>1323</v>
      </c>
      <c r="H226" s="409" t="s">
        <v>1323</v>
      </c>
      <c r="I226" s="409" t="s">
        <v>972</v>
      </c>
      <c r="J226" s="409" t="s">
        <v>2245</v>
      </c>
      <c r="K226" s="835">
        <v>44531</v>
      </c>
      <c r="L226" s="409">
        <v>0</v>
      </c>
      <c r="M226" s="409">
        <v>0</v>
      </c>
      <c r="N226" s="409">
        <v>2.7E-2</v>
      </c>
      <c r="O226" s="409">
        <v>2.7E-2</v>
      </c>
      <c r="P226" s="409">
        <v>2.7E-2</v>
      </c>
      <c r="Q226" s="409">
        <v>2.7E-2</v>
      </c>
      <c r="R226" s="409"/>
      <c r="S226" s="409">
        <v>1298.56</v>
      </c>
      <c r="T226" s="409">
        <v>214.18</v>
      </c>
      <c r="U226" s="409"/>
      <c r="V226" s="409">
        <v>40.843979999999995</v>
      </c>
      <c r="W226" s="409">
        <v>40.843979999999995</v>
      </c>
      <c r="X226" s="409">
        <v>35.445869999999999</v>
      </c>
      <c r="Y226" s="409">
        <v>0</v>
      </c>
      <c r="Z226" s="409">
        <v>0.5912314245730953</v>
      </c>
      <c r="AA226" s="409">
        <v>0</v>
      </c>
      <c r="AB226" s="409">
        <v>0</v>
      </c>
      <c r="AC226" s="409">
        <v>0</v>
      </c>
      <c r="AD226" s="409">
        <v>7.4246815565008832</v>
      </c>
      <c r="AE226" s="409">
        <v>25.978477022569681</v>
      </c>
      <c r="AF226" s="409">
        <v>5.7828809364778886</v>
      </c>
      <c r="AG226" s="409">
        <v>0</v>
      </c>
      <c r="AH226" s="409">
        <v>0</v>
      </c>
      <c r="AI226" s="409">
        <v>0</v>
      </c>
      <c r="AJ226" s="409">
        <v>0</v>
      </c>
      <c r="AK226" s="409">
        <v>0</v>
      </c>
      <c r="AL226" s="409">
        <v>0.24137999801181262</v>
      </c>
      <c r="AM226" s="409"/>
      <c r="AN226" s="409">
        <v>4.0792864942935179E-2</v>
      </c>
      <c r="AO226" s="409">
        <v>0</v>
      </c>
      <c r="AP226" s="409">
        <v>0</v>
      </c>
      <c r="AQ226" s="409">
        <v>0</v>
      </c>
      <c r="AR226" s="409">
        <v>0</v>
      </c>
      <c r="AS226" s="409">
        <v>0</v>
      </c>
      <c r="AT226" s="409">
        <v>0</v>
      </c>
      <c r="AU226" s="409">
        <v>0</v>
      </c>
      <c r="AV226" s="409">
        <v>0</v>
      </c>
      <c r="AW226" s="409">
        <v>0</v>
      </c>
      <c r="AX226" s="409">
        <v>0</v>
      </c>
      <c r="AY226" s="409">
        <v>0</v>
      </c>
      <c r="AZ226" s="409">
        <v>0</v>
      </c>
      <c r="BA226" s="409"/>
      <c r="BB226" s="409">
        <v>0</v>
      </c>
      <c r="BC226" s="409">
        <v>0</v>
      </c>
      <c r="BD226" s="409">
        <v>0</v>
      </c>
      <c r="BE226" s="409">
        <v>0</v>
      </c>
      <c r="BF226" s="409">
        <v>0</v>
      </c>
      <c r="BG226" s="409">
        <v>0.78453926507442506</v>
      </c>
      <c r="BH226" s="409">
        <v>0</v>
      </c>
      <c r="BI226" s="409">
        <v>0</v>
      </c>
      <c r="BJ226" s="409">
        <v>0</v>
      </c>
      <c r="BK226" s="409">
        <v>0</v>
      </c>
      <c r="BL226" s="409">
        <v>0</v>
      </c>
      <c r="BM226" s="409"/>
      <c r="BN226" s="409"/>
      <c r="BO226" s="409"/>
      <c r="BP226" s="409"/>
      <c r="BQ226" s="409"/>
      <c r="BR226" s="409"/>
      <c r="BS226" s="409"/>
      <c r="BT226" s="409"/>
      <c r="BU226" s="409"/>
      <c r="BV226" s="409">
        <v>6.5674202015523138</v>
      </c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I226" s="409">
        <v>39.384299999999996</v>
      </c>
      <c r="CJ226" s="409">
        <v>-1.4896799999999928</v>
      </c>
      <c r="CK226" s="409"/>
      <c r="CL226" s="409"/>
      <c r="CM226" s="409"/>
      <c r="CN226" s="409"/>
      <c r="CO226" s="409">
        <v>-5.5992599999999966</v>
      </c>
      <c r="CP226" s="409">
        <v>0.20114999999999969</v>
      </c>
      <c r="CQ226" s="409"/>
      <c r="CR226" s="409">
        <v>0.55684057031876044</v>
      </c>
      <c r="CS226" s="409">
        <v>0</v>
      </c>
      <c r="CT226" s="409">
        <v>0</v>
      </c>
      <c r="CU226" s="409">
        <v>0</v>
      </c>
      <c r="CV226" s="409">
        <v>0</v>
      </c>
      <c r="CW226" s="409">
        <v>0</v>
      </c>
      <c r="CX226" s="409">
        <v>0</v>
      </c>
      <c r="CY226" s="409">
        <v>0</v>
      </c>
      <c r="CZ226" s="409">
        <v>0.27835590177501235</v>
      </c>
      <c r="DA226" s="409">
        <v>0</v>
      </c>
      <c r="DB226" s="409">
        <v>0</v>
      </c>
      <c r="DC226" s="409">
        <v>0.26491323646152942</v>
      </c>
      <c r="DD226" s="409">
        <v>0</v>
      </c>
      <c r="DE226" s="409">
        <v>0</v>
      </c>
      <c r="DF226" s="409">
        <v>0</v>
      </c>
      <c r="DG226" s="409">
        <v>3.5939670576825677E-2</v>
      </c>
      <c r="DH226" s="409">
        <v>0</v>
      </c>
      <c r="DI226" s="409">
        <v>-4.3117802584722309E-3</v>
      </c>
      <c r="DJ226" s="409"/>
      <c r="DK226" s="409">
        <v>0</v>
      </c>
      <c r="DL226" s="409">
        <v>0</v>
      </c>
      <c r="DM226" s="409">
        <v>0</v>
      </c>
      <c r="DN226" s="409">
        <v>0</v>
      </c>
      <c r="DO226" s="409">
        <v>-1.3538888750173617E-3</v>
      </c>
      <c r="DP226" s="409">
        <v>-2.4028362306424758E-3</v>
      </c>
      <c r="DQ226" s="409">
        <v>0</v>
      </c>
      <c r="DR226" s="409">
        <v>-1.4299733130475868E-2</v>
      </c>
      <c r="DS226" s="409"/>
      <c r="DT226" s="409"/>
      <c r="DU226" s="409"/>
      <c r="DV226" s="409">
        <v>25.978477022569681</v>
      </c>
      <c r="DW226" s="409">
        <v>0</v>
      </c>
      <c r="DX226" s="409">
        <v>0</v>
      </c>
      <c r="DY226" s="409">
        <v>-5.5992599999999939</v>
      </c>
      <c r="DZ226" s="409">
        <v>0.20114999999999927</v>
      </c>
      <c r="EA226" s="409">
        <v>0</v>
      </c>
      <c r="EB226" s="409">
        <v>0</v>
      </c>
      <c r="EC226" s="409">
        <v>-5.9548778029220841</v>
      </c>
      <c r="ED226" s="409">
        <v>0</v>
      </c>
      <c r="EE226" s="409">
        <v>0</v>
      </c>
      <c r="EF226" s="409">
        <v>0</v>
      </c>
      <c r="EG226" s="409">
        <v>0</v>
      </c>
      <c r="EH226" s="409">
        <v>0</v>
      </c>
      <c r="EI226" s="409">
        <v>0</v>
      </c>
      <c r="EJ226" s="409">
        <v>0</v>
      </c>
      <c r="EK226" s="409">
        <v>0</v>
      </c>
      <c r="EL226" s="409">
        <v>0</v>
      </c>
      <c r="EM226" s="409">
        <v>0</v>
      </c>
      <c r="EN226" s="409">
        <v>0</v>
      </c>
      <c r="EO226" s="409">
        <v>0</v>
      </c>
      <c r="EP226" s="409">
        <v>0</v>
      </c>
      <c r="EQ226" s="409">
        <v>0</v>
      </c>
      <c r="ER226" s="409">
        <v>0</v>
      </c>
      <c r="ES226" s="409">
        <v>0</v>
      </c>
      <c r="ET226" s="409">
        <v>0</v>
      </c>
      <c r="EU226" s="409">
        <v>0</v>
      </c>
      <c r="EV226" s="409">
        <v>254</v>
      </c>
      <c r="EW226" s="409">
        <v>0</v>
      </c>
      <c r="EX226" s="409">
        <v>0</v>
      </c>
      <c r="EY226" s="409">
        <v>0</v>
      </c>
      <c r="EZ226" s="409"/>
      <c r="FA226" s="409">
        <v>0</v>
      </c>
      <c r="FB226" s="409"/>
      <c r="FC226" s="409"/>
      <c r="FD226" s="409"/>
      <c r="FE226" s="409"/>
      <c r="FF226" s="409">
        <v>0</v>
      </c>
      <c r="FG226" s="409">
        <v>0</v>
      </c>
      <c r="FH226" s="409">
        <v>0</v>
      </c>
      <c r="FI226" s="409">
        <v>0</v>
      </c>
    </row>
    <row r="227" spans="1:165">
      <c r="A227" s="409">
        <v>225</v>
      </c>
      <c r="B227" s="409" t="s">
        <v>1035</v>
      </c>
      <c r="C227" s="409" t="s">
        <v>2252</v>
      </c>
      <c r="D227" s="409" t="s">
        <v>2254</v>
      </c>
      <c r="E227" s="409" t="s">
        <v>973</v>
      </c>
      <c r="F227" s="409" t="s">
        <v>1323</v>
      </c>
      <c r="G227" s="409" t="s">
        <v>1323</v>
      </c>
      <c r="H227" s="409" t="s">
        <v>1323</v>
      </c>
      <c r="I227" s="409" t="s">
        <v>2237</v>
      </c>
      <c r="J227" s="409" t="s">
        <v>2245</v>
      </c>
      <c r="K227" s="835">
        <v>44531</v>
      </c>
      <c r="L227" s="409">
        <v>0</v>
      </c>
      <c r="M227" s="409">
        <v>0</v>
      </c>
      <c r="N227" s="409">
        <v>2.347</v>
      </c>
      <c r="O227" s="409">
        <v>2.347</v>
      </c>
      <c r="P227" s="409">
        <v>2.347</v>
      </c>
      <c r="Q227" s="409">
        <v>2.347</v>
      </c>
      <c r="R227" s="409"/>
      <c r="S227" s="409">
        <v>308.83999999999997</v>
      </c>
      <c r="T227" s="409">
        <v>214.18</v>
      </c>
      <c r="U227" s="409"/>
      <c r="V227" s="409">
        <v>1227.5279399999999</v>
      </c>
      <c r="W227" s="409">
        <v>1227.5279399999999</v>
      </c>
      <c r="X227" s="409">
        <v>1149.7718300000001</v>
      </c>
      <c r="Y227" s="409">
        <v>0</v>
      </c>
      <c r="Z227" s="409">
        <v>51.393339017520546</v>
      </c>
      <c r="AA227" s="409">
        <v>0</v>
      </c>
      <c r="AB227" s="409">
        <v>0</v>
      </c>
      <c r="AC227" s="409">
        <v>0</v>
      </c>
      <c r="AD227" s="409">
        <v>129.08314194796867</v>
      </c>
      <c r="AE227" s="409">
        <v>451.64086624937926</v>
      </c>
      <c r="AF227" s="409">
        <v>502.68227992272608</v>
      </c>
      <c r="AG227" s="409">
        <v>0</v>
      </c>
      <c r="AH227" s="409">
        <v>0</v>
      </c>
      <c r="AI227" s="409">
        <v>0</v>
      </c>
      <c r="AJ227" s="409">
        <v>0</v>
      </c>
      <c r="AK227" s="409">
        <v>0</v>
      </c>
      <c r="AL227" s="409">
        <v>20.982179827174971</v>
      </c>
      <c r="AM227" s="409"/>
      <c r="AN227" s="409">
        <v>3.5459575563358841</v>
      </c>
      <c r="AO227" s="409">
        <v>0</v>
      </c>
      <c r="AP227" s="409">
        <v>0</v>
      </c>
      <c r="AQ227" s="409">
        <v>0</v>
      </c>
      <c r="AR227" s="409">
        <v>0</v>
      </c>
      <c r="AS227" s="409">
        <v>0</v>
      </c>
      <c r="AT227" s="409">
        <v>0</v>
      </c>
      <c r="AU227" s="409">
        <v>0</v>
      </c>
      <c r="AV227" s="409">
        <v>0</v>
      </c>
      <c r="AW227" s="409">
        <v>0</v>
      </c>
      <c r="AX227" s="409">
        <v>0</v>
      </c>
      <c r="AY227" s="409">
        <v>0</v>
      </c>
      <c r="AZ227" s="409">
        <v>0</v>
      </c>
      <c r="BA227" s="409"/>
      <c r="BB227" s="409">
        <v>0</v>
      </c>
      <c r="BC227" s="409">
        <v>0</v>
      </c>
      <c r="BD227" s="409">
        <v>0</v>
      </c>
      <c r="BE227" s="409">
        <v>0</v>
      </c>
      <c r="BF227" s="409">
        <v>0</v>
      </c>
      <c r="BG227" s="409">
        <v>68.196802041839831</v>
      </c>
      <c r="BH227" s="409">
        <v>0</v>
      </c>
      <c r="BI227" s="409">
        <v>0</v>
      </c>
      <c r="BJ227" s="409">
        <v>0</v>
      </c>
      <c r="BK227" s="409">
        <v>0</v>
      </c>
      <c r="BL227" s="409">
        <v>0</v>
      </c>
      <c r="BM227" s="409"/>
      <c r="BN227" s="409"/>
      <c r="BO227" s="409"/>
      <c r="BP227" s="409"/>
      <c r="BQ227" s="409"/>
      <c r="BR227" s="409"/>
      <c r="BS227" s="409"/>
      <c r="BT227" s="409"/>
      <c r="BU227" s="409"/>
      <c r="BV227" s="409">
        <v>570.8790819645659</v>
      </c>
      <c r="BW227" s="409"/>
      <c r="BX227" s="409"/>
      <c r="BY227" s="409"/>
      <c r="BZ227" s="409"/>
      <c r="CA227" s="409"/>
      <c r="CB227" s="409"/>
      <c r="CC227" s="409"/>
      <c r="CD227" s="409"/>
      <c r="CE227" s="409"/>
      <c r="CF227" s="409"/>
      <c r="CG227" s="409"/>
      <c r="CH227" s="409"/>
      <c r="CI227" s="409">
        <v>1151.2415000000001</v>
      </c>
      <c r="CJ227" s="409">
        <v>-76.31643999999983</v>
      </c>
      <c r="CK227" s="409"/>
      <c r="CL227" s="409"/>
      <c r="CM227" s="409"/>
      <c r="CN227" s="409"/>
      <c r="CO227" s="409">
        <v>-95.241259999999968</v>
      </c>
      <c r="CP227" s="409">
        <v>17.485149999999972</v>
      </c>
      <c r="CQ227" s="409"/>
      <c r="CR227" s="409">
        <v>25.767629223017821</v>
      </c>
      <c r="CS227" s="409">
        <v>0</v>
      </c>
      <c r="CT227" s="409">
        <v>0</v>
      </c>
      <c r="CU227" s="409">
        <v>0</v>
      </c>
      <c r="CV227" s="409">
        <v>0</v>
      </c>
      <c r="CW227" s="409">
        <v>0</v>
      </c>
      <c r="CX227" s="409">
        <v>0</v>
      </c>
      <c r="CY227" s="409">
        <v>0</v>
      </c>
      <c r="CZ227" s="409">
        <v>4.8394067957592313</v>
      </c>
      <c r="DA227" s="409">
        <v>0</v>
      </c>
      <c r="DB227" s="409">
        <v>0</v>
      </c>
      <c r="DC227" s="409">
        <v>23.027828369452266</v>
      </c>
      <c r="DD227" s="409">
        <v>0</v>
      </c>
      <c r="DE227" s="409">
        <v>0</v>
      </c>
      <c r="DF227" s="409">
        <v>0</v>
      </c>
      <c r="DG227" s="409">
        <v>3.1240891423633315</v>
      </c>
      <c r="DH227" s="409">
        <v>0</v>
      </c>
      <c r="DI227" s="409">
        <v>-0.37480549135683106</v>
      </c>
      <c r="DJ227" s="409"/>
      <c r="DK227" s="409">
        <v>0</v>
      </c>
      <c r="DL227" s="409">
        <v>0</v>
      </c>
      <c r="DM227" s="409">
        <v>0</v>
      </c>
      <c r="DN227" s="409">
        <v>0</v>
      </c>
      <c r="DO227" s="409">
        <v>-0.11768804406169409</v>
      </c>
      <c r="DP227" s="409">
        <v>-0.20886876419695932</v>
      </c>
      <c r="DQ227" s="409">
        <v>0</v>
      </c>
      <c r="DR227" s="409">
        <v>-4.5223327849417361</v>
      </c>
      <c r="DS227" s="409"/>
      <c r="DT227" s="409"/>
      <c r="DU227" s="409"/>
      <c r="DV227" s="409">
        <v>451.64086624937926</v>
      </c>
      <c r="DW227" s="409">
        <v>0</v>
      </c>
      <c r="DX227" s="409">
        <v>0</v>
      </c>
      <c r="DY227" s="409">
        <v>-95.241259999999897</v>
      </c>
      <c r="DZ227" s="409">
        <v>17.485150000000033</v>
      </c>
      <c r="EA227" s="409">
        <v>0</v>
      </c>
      <c r="EB227" s="409">
        <v>0</v>
      </c>
      <c r="EC227" s="409">
        <v>-103.52670662658085</v>
      </c>
      <c r="ED227" s="409">
        <v>0</v>
      </c>
      <c r="EE227" s="409">
        <v>0</v>
      </c>
      <c r="EF227" s="409">
        <v>0</v>
      </c>
      <c r="EG227" s="409">
        <v>0</v>
      </c>
      <c r="EH227" s="409">
        <v>0</v>
      </c>
      <c r="EI227" s="409">
        <v>0</v>
      </c>
      <c r="EJ227" s="409">
        <v>0</v>
      </c>
      <c r="EK227" s="409">
        <v>0</v>
      </c>
      <c r="EL227" s="409">
        <v>0</v>
      </c>
      <c r="EM227" s="409">
        <v>0</v>
      </c>
      <c r="EN227" s="409">
        <v>0</v>
      </c>
      <c r="EO227" s="409">
        <v>0</v>
      </c>
      <c r="EP227" s="409">
        <v>0</v>
      </c>
      <c r="EQ227" s="409">
        <v>0</v>
      </c>
      <c r="ER227" s="409">
        <v>0</v>
      </c>
      <c r="ES227" s="409">
        <v>0</v>
      </c>
      <c r="ET227" s="409">
        <v>0</v>
      </c>
      <c r="EU227" s="409">
        <v>0</v>
      </c>
      <c r="EV227" s="409">
        <v>254</v>
      </c>
      <c r="EW227" s="409">
        <v>0</v>
      </c>
      <c r="EX227" s="409">
        <v>0</v>
      </c>
      <c r="EY227" s="409">
        <v>0</v>
      </c>
      <c r="EZ227" s="409"/>
      <c r="FA227" s="409">
        <v>0</v>
      </c>
      <c r="FB227" s="409"/>
      <c r="FC227" s="409"/>
      <c r="FD227" s="409"/>
      <c r="FE227" s="409"/>
      <c r="FF227" s="409">
        <v>0</v>
      </c>
      <c r="FG227" s="409">
        <v>0</v>
      </c>
      <c r="FH227" s="409">
        <v>0</v>
      </c>
      <c r="FI227" s="409">
        <v>0</v>
      </c>
    </row>
    <row r="228" spans="1:165">
      <c r="A228" s="409">
        <v>226</v>
      </c>
      <c r="B228" s="409" t="s">
        <v>1035</v>
      </c>
      <c r="C228" s="409" t="s">
        <v>2252</v>
      </c>
      <c r="D228" s="409" t="s">
        <v>2254</v>
      </c>
      <c r="E228" s="409" t="s">
        <v>973</v>
      </c>
      <c r="F228" s="409" t="s">
        <v>1323</v>
      </c>
      <c r="G228" s="409" t="s">
        <v>1323</v>
      </c>
      <c r="H228" s="409" t="s">
        <v>1323</v>
      </c>
      <c r="I228" s="409" t="s">
        <v>1323</v>
      </c>
      <c r="J228" s="409" t="s">
        <v>2245</v>
      </c>
      <c r="K228" s="835">
        <v>44531</v>
      </c>
      <c r="L228" s="409">
        <v>0</v>
      </c>
      <c r="M228" s="409">
        <v>0</v>
      </c>
      <c r="N228" s="409">
        <v>5.7000000000000002E-2</v>
      </c>
      <c r="O228" s="409">
        <v>5.7000000000000002E-2</v>
      </c>
      <c r="P228" s="409">
        <v>5.7000000000000002E-2</v>
      </c>
      <c r="Q228" s="409">
        <v>5.7000000000000002E-2</v>
      </c>
      <c r="R228" s="409"/>
      <c r="S228" s="409">
        <v>597.01</v>
      </c>
      <c r="T228" s="409">
        <v>243.39</v>
      </c>
      <c r="U228" s="409"/>
      <c r="V228" s="409">
        <v>47.902799999999999</v>
      </c>
      <c r="W228" s="409">
        <v>47.902799999999999</v>
      </c>
      <c r="X228" s="409">
        <v>43.392960000000002</v>
      </c>
      <c r="Y228" s="409">
        <v>0</v>
      </c>
      <c r="Z228" s="409">
        <v>1.4183582155162633</v>
      </c>
      <c r="AA228" s="409">
        <v>0</v>
      </c>
      <c r="AB228" s="409">
        <v>0</v>
      </c>
      <c r="AC228" s="409">
        <v>0</v>
      </c>
      <c r="AD228" s="409">
        <v>6.6797767397582586</v>
      </c>
      <c r="AE228" s="409">
        <v>23.372195911482564</v>
      </c>
      <c r="AF228" s="409">
        <v>13.873072953671706</v>
      </c>
      <c r="AG228" s="409">
        <v>0</v>
      </c>
      <c r="AH228" s="409">
        <v>0</v>
      </c>
      <c r="AI228" s="409">
        <v>0</v>
      </c>
      <c r="AJ228" s="409">
        <v>0</v>
      </c>
      <c r="AK228" s="409">
        <v>0</v>
      </c>
      <c r="AL228" s="409">
        <v>0.57906817704854097</v>
      </c>
      <c r="AM228" s="409"/>
      <c r="AN228" s="409">
        <v>9.7861670948960394E-2</v>
      </c>
      <c r="AO228" s="409">
        <v>0</v>
      </c>
      <c r="AP228" s="409">
        <v>0</v>
      </c>
      <c r="AQ228" s="409">
        <v>0</v>
      </c>
      <c r="AR228" s="409">
        <v>0</v>
      </c>
      <c r="AS228" s="409">
        <v>0</v>
      </c>
      <c r="AT228" s="409">
        <v>0</v>
      </c>
      <c r="AU228" s="409">
        <v>0</v>
      </c>
      <c r="AV228" s="409">
        <v>0</v>
      </c>
      <c r="AW228" s="409">
        <v>0</v>
      </c>
      <c r="AX228" s="409">
        <v>0</v>
      </c>
      <c r="AY228" s="409">
        <v>0</v>
      </c>
      <c r="AZ228" s="409">
        <v>0</v>
      </c>
      <c r="BA228" s="409"/>
      <c r="BB228" s="409">
        <v>0</v>
      </c>
      <c r="BC228" s="409">
        <v>0</v>
      </c>
      <c r="BD228" s="409">
        <v>0</v>
      </c>
      <c r="BE228" s="409">
        <v>0</v>
      </c>
      <c r="BF228" s="409">
        <v>0</v>
      </c>
      <c r="BG228" s="409">
        <v>1.8821017722745044</v>
      </c>
      <c r="BH228" s="409">
        <v>0</v>
      </c>
      <c r="BI228" s="409">
        <v>1.99</v>
      </c>
      <c r="BJ228" s="409">
        <v>9.19</v>
      </c>
      <c r="BK228" s="409">
        <v>0</v>
      </c>
      <c r="BL228" s="409">
        <v>7</v>
      </c>
      <c r="BM228" s="409"/>
      <c r="BN228" s="409"/>
      <c r="BO228" s="409"/>
      <c r="BP228" s="409"/>
      <c r="BQ228" s="409"/>
      <c r="BR228" s="409">
        <v>5.2075199999999988</v>
      </c>
      <c r="BS228" s="409"/>
      <c r="BT228" s="409"/>
      <c r="BU228" s="409"/>
      <c r="BV228" s="409">
        <v>15.75517472594621</v>
      </c>
      <c r="BW228" s="409"/>
      <c r="BX228" s="409"/>
      <c r="BY228" s="409"/>
      <c r="BZ228" s="409"/>
      <c r="CA228" s="409"/>
      <c r="CB228" s="409"/>
      <c r="CC228" s="409"/>
      <c r="CD228" s="409"/>
      <c r="CE228" s="409"/>
      <c r="CF228" s="409"/>
      <c r="CG228" s="409"/>
      <c r="CH228" s="409"/>
      <c r="CI228" s="409">
        <v>40.1952</v>
      </c>
      <c r="CJ228" s="409">
        <v>-1.9891500000000022</v>
      </c>
      <c r="CK228" s="409"/>
      <c r="CL228" s="409"/>
      <c r="CM228" s="409"/>
      <c r="CN228" s="409"/>
      <c r="CO228" s="409">
        <v>-4.9920599999999995</v>
      </c>
      <c r="CP228" s="409">
        <v>0.48222000000000048</v>
      </c>
      <c r="CQ228" s="409"/>
      <c r="CR228" s="409">
        <v>0.84780791161858815</v>
      </c>
      <c r="CS228" s="409">
        <v>0</v>
      </c>
      <c r="CT228" s="409">
        <v>0</v>
      </c>
      <c r="CU228" s="409">
        <v>0</v>
      </c>
      <c r="CV228" s="409">
        <v>0</v>
      </c>
      <c r="CW228" s="409">
        <v>0</v>
      </c>
      <c r="CX228" s="409">
        <v>0</v>
      </c>
      <c r="CY228" s="409">
        <v>0</v>
      </c>
      <c r="CZ228" s="409">
        <v>0.25042895966673306</v>
      </c>
      <c r="DA228" s="409">
        <v>0</v>
      </c>
      <c r="DB228" s="409">
        <v>0</v>
      </c>
      <c r="DC228" s="409">
        <v>0.63552417837995456</v>
      </c>
      <c r="DD228" s="409">
        <v>0</v>
      </c>
      <c r="DE228" s="409">
        <v>0</v>
      </c>
      <c r="DF228" s="409">
        <v>0</v>
      </c>
      <c r="DG228" s="409">
        <v>8.6218906686826635E-2</v>
      </c>
      <c r="DH228" s="409">
        <v>0</v>
      </c>
      <c r="DI228" s="409">
        <v>-1.034391728673989E-2</v>
      </c>
      <c r="DJ228" s="409"/>
      <c r="DK228" s="409">
        <v>0</v>
      </c>
      <c r="DL228" s="409">
        <v>0</v>
      </c>
      <c r="DM228" s="409">
        <v>0</v>
      </c>
      <c r="DN228" s="409">
        <v>0</v>
      </c>
      <c r="DO228" s="409">
        <v>-3.2479657355243274E-3</v>
      </c>
      <c r="DP228" s="409">
        <v>-5.7643798462378992E-3</v>
      </c>
      <c r="DQ228" s="409">
        <v>0</v>
      </c>
      <c r="DR228" s="409">
        <v>-0.10500787024641536</v>
      </c>
      <c r="DS228" s="409"/>
      <c r="DT228" s="409"/>
      <c r="DU228" s="409"/>
      <c r="DV228" s="409">
        <v>23.372195911482564</v>
      </c>
      <c r="DW228" s="409">
        <v>0</v>
      </c>
      <c r="DX228" s="409">
        <v>0</v>
      </c>
      <c r="DY228" s="409">
        <v>-4.9920599999999986</v>
      </c>
      <c r="DZ228" s="409">
        <v>0.48221999999999987</v>
      </c>
      <c r="EA228" s="409">
        <v>0</v>
      </c>
      <c r="EB228" s="409">
        <v>0</v>
      </c>
      <c r="EC228" s="409">
        <v>-5.3574568870191293</v>
      </c>
      <c r="ED228" s="409">
        <v>0</v>
      </c>
      <c r="EE228" s="409">
        <v>0</v>
      </c>
      <c r="EF228" s="409">
        <v>0</v>
      </c>
      <c r="EG228" s="409">
        <v>0</v>
      </c>
      <c r="EH228" s="409">
        <v>0</v>
      </c>
      <c r="EI228" s="409">
        <v>0</v>
      </c>
      <c r="EJ228" s="409">
        <v>0</v>
      </c>
      <c r="EK228" s="409">
        <v>0</v>
      </c>
      <c r="EL228" s="409">
        <v>0</v>
      </c>
      <c r="EM228" s="409">
        <v>0</v>
      </c>
      <c r="EN228" s="409">
        <v>0</v>
      </c>
      <c r="EO228" s="409">
        <v>0</v>
      </c>
      <c r="EP228" s="409">
        <v>0</v>
      </c>
      <c r="EQ228" s="409">
        <v>0</v>
      </c>
      <c r="ER228" s="409">
        <v>0</v>
      </c>
      <c r="ES228" s="409">
        <v>0</v>
      </c>
      <c r="ET228" s="409">
        <v>0</v>
      </c>
      <c r="EU228" s="409">
        <v>0</v>
      </c>
      <c r="EV228" s="409">
        <v>254</v>
      </c>
      <c r="EW228" s="409">
        <v>0</v>
      </c>
      <c r="EX228" s="409">
        <v>0</v>
      </c>
      <c r="EY228" s="409">
        <v>0</v>
      </c>
      <c r="EZ228" s="409"/>
      <c r="FA228" s="409">
        <v>0</v>
      </c>
      <c r="FB228" s="409"/>
      <c r="FC228" s="409"/>
      <c r="FD228" s="409"/>
      <c r="FE228" s="409"/>
      <c r="FF228" s="409">
        <v>0</v>
      </c>
      <c r="FG228" s="409">
        <v>0</v>
      </c>
      <c r="FH228" s="409">
        <v>0</v>
      </c>
      <c r="FI228" s="409">
        <v>0</v>
      </c>
    </row>
    <row r="229" spans="1:165">
      <c r="A229" s="409">
        <v>227</v>
      </c>
      <c r="B229" s="409" t="s">
        <v>1035</v>
      </c>
      <c r="C229" s="409" t="s">
        <v>2252</v>
      </c>
      <c r="D229" s="409" t="s">
        <v>2254</v>
      </c>
      <c r="E229" s="409" t="s">
        <v>973</v>
      </c>
      <c r="F229" s="409" t="s">
        <v>1323</v>
      </c>
      <c r="G229" s="409" t="s">
        <v>1323</v>
      </c>
      <c r="H229" s="409" t="s">
        <v>1323</v>
      </c>
      <c r="I229" s="409" t="s">
        <v>2253</v>
      </c>
      <c r="J229" s="409" t="s">
        <v>2245</v>
      </c>
      <c r="K229" s="835">
        <v>44531</v>
      </c>
      <c r="L229" s="409">
        <v>0</v>
      </c>
      <c r="M229" s="409">
        <v>0</v>
      </c>
      <c r="N229" s="409">
        <v>0.1</v>
      </c>
      <c r="O229" s="409">
        <v>0.1</v>
      </c>
      <c r="P229" s="409">
        <v>0.1</v>
      </c>
      <c r="Q229" s="409">
        <v>0.1</v>
      </c>
      <c r="R229" s="409"/>
      <c r="S229" s="409">
        <v>803.7</v>
      </c>
      <c r="T229" s="409">
        <v>214.18</v>
      </c>
      <c r="U229" s="409"/>
      <c r="V229" s="409">
        <v>101.78800000000001</v>
      </c>
      <c r="W229" s="409">
        <v>101.78800000000001</v>
      </c>
      <c r="X229" s="409">
        <v>90.135000000000005</v>
      </c>
      <c r="Y229" s="409">
        <v>0</v>
      </c>
      <c r="Z229" s="409">
        <v>2.1897460169373901</v>
      </c>
      <c r="AA229" s="409">
        <v>0</v>
      </c>
      <c r="AB229" s="409">
        <v>0</v>
      </c>
      <c r="AC229" s="409">
        <v>0</v>
      </c>
      <c r="AD229" s="409">
        <v>16.4993656180492</v>
      </c>
      <c r="AE229" s="409">
        <v>57.729929136493503</v>
      </c>
      <c r="AF229" s="409">
        <v>21.418077542510702</v>
      </c>
      <c r="AG229" s="409">
        <v>0</v>
      </c>
      <c r="AH229" s="409">
        <v>0</v>
      </c>
      <c r="AI229" s="409">
        <v>0</v>
      </c>
      <c r="AJ229" s="409">
        <v>0</v>
      </c>
      <c r="AK229" s="409">
        <v>0</v>
      </c>
      <c r="AL229" s="409">
        <v>0.89399999263634311</v>
      </c>
      <c r="AM229" s="409"/>
      <c r="AN229" s="409">
        <v>0.15108468497383401</v>
      </c>
      <c r="AO229" s="409">
        <v>0</v>
      </c>
      <c r="AP229" s="409">
        <v>0</v>
      </c>
      <c r="AQ229" s="409">
        <v>0</v>
      </c>
      <c r="AR229" s="409">
        <v>0</v>
      </c>
      <c r="AS229" s="409">
        <v>0</v>
      </c>
      <c r="AT229" s="409">
        <v>0</v>
      </c>
      <c r="AU229" s="409">
        <v>0</v>
      </c>
      <c r="AV229" s="409">
        <v>0</v>
      </c>
      <c r="AW229" s="409">
        <v>0</v>
      </c>
      <c r="AX229" s="409">
        <v>0</v>
      </c>
      <c r="AY229" s="409">
        <v>0</v>
      </c>
      <c r="AZ229" s="409">
        <v>0</v>
      </c>
      <c r="BA229" s="409"/>
      <c r="BB229" s="409">
        <v>0</v>
      </c>
      <c r="BC229" s="409">
        <v>0</v>
      </c>
      <c r="BD229" s="409">
        <v>0</v>
      </c>
      <c r="BE229" s="409">
        <v>0</v>
      </c>
      <c r="BF229" s="409">
        <v>0</v>
      </c>
      <c r="BG229" s="409">
        <v>2.9057009817571302</v>
      </c>
      <c r="BH229" s="409">
        <v>0</v>
      </c>
      <c r="BI229" s="409">
        <v>0</v>
      </c>
      <c r="BJ229" s="409">
        <v>0</v>
      </c>
      <c r="BK229" s="409">
        <v>0</v>
      </c>
      <c r="BL229" s="409">
        <v>0</v>
      </c>
      <c r="BM229" s="409"/>
      <c r="BN229" s="409"/>
      <c r="BO229" s="409"/>
      <c r="BP229" s="409"/>
      <c r="BQ229" s="409"/>
      <c r="BR229" s="409"/>
      <c r="BS229" s="409"/>
      <c r="BT229" s="409"/>
      <c r="BU229" s="409"/>
      <c r="BV229" s="409">
        <v>24.32377852426783</v>
      </c>
      <c r="BW229" s="409"/>
      <c r="BX229" s="409"/>
      <c r="BY229" s="409"/>
      <c r="BZ229" s="409"/>
      <c r="CA229" s="409"/>
      <c r="CB229" s="409"/>
      <c r="CC229" s="409"/>
      <c r="CD229" s="409"/>
      <c r="CE229" s="409"/>
      <c r="CF229" s="409"/>
      <c r="CG229" s="409"/>
      <c r="CH229" s="409"/>
      <c r="CI229" s="409">
        <v>90.135000000000005</v>
      </c>
      <c r="CJ229" s="409">
        <v>-11.683000000000021</v>
      </c>
      <c r="CK229" s="409"/>
      <c r="CL229" s="409"/>
      <c r="CM229" s="409"/>
      <c r="CN229" s="409"/>
      <c r="CO229" s="409">
        <v>-12.398000000000003</v>
      </c>
      <c r="CP229" s="409">
        <v>0.74499999999999889</v>
      </c>
      <c r="CQ229" s="409"/>
      <c r="CR229" s="409">
        <v>1.5801342236747971</v>
      </c>
      <c r="CS229" s="409">
        <v>0</v>
      </c>
      <c r="CT229" s="409">
        <v>0</v>
      </c>
      <c r="CU229" s="409">
        <v>0</v>
      </c>
      <c r="CV229" s="409">
        <v>0</v>
      </c>
      <c r="CW229" s="409">
        <v>0</v>
      </c>
      <c r="CX229" s="409">
        <v>0</v>
      </c>
      <c r="CY229" s="409">
        <v>0</v>
      </c>
      <c r="CZ229" s="409">
        <v>0.61857141755880107</v>
      </c>
      <c r="DA229" s="409">
        <v>0</v>
      </c>
      <c r="DB229" s="409">
        <v>0</v>
      </c>
      <c r="DC229" s="409">
        <v>0.98116013504269972</v>
      </c>
      <c r="DD229" s="409">
        <v>0</v>
      </c>
      <c r="DE229" s="409">
        <v>0</v>
      </c>
      <c r="DF229" s="409">
        <v>0</v>
      </c>
      <c r="DG229" s="409">
        <v>0.13310989102527993</v>
      </c>
      <c r="DH229" s="409">
        <v>0</v>
      </c>
      <c r="DI229" s="409">
        <v>-1.5969556512859917E-2</v>
      </c>
      <c r="DJ229" s="409"/>
      <c r="DK229" s="409">
        <v>0</v>
      </c>
      <c r="DL229" s="409">
        <v>0</v>
      </c>
      <c r="DM229" s="409">
        <v>0</v>
      </c>
      <c r="DN229" s="409">
        <v>0</v>
      </c>
      <c r="DO229" s="409">
        <v>-5.0144032408050432E-3</v>
      </c>
      <c r="DP229" s="409">
        <v>-8.8993934468239999E-3</v>
      </c>
      <c r="DQ229" s="409">
        <v>0</v>
      </c>
      <c r="DR229" s="409">
        <v>-0.122823866751491</v>
      </c>
      <c r="DS229" s="409"/>
      <c r="DT229" s="409"/>
      <c r="DU229" s="409"/>
      <c r="DV229" s="409">
        <v>57.729929136493503</v>
      </c>
      <c r="DW229" s="409">
        <v>0</v>
      </c>
      <c r="DX229" s="409">
        <v>0</v>
      </c>
      <c r="DY229" s="409">
        <v>-12.397999999999996</v>
      </c>
      <c r="DZ229" s="409">
        <v>0.74499999999999744</v>
      </c>
      <c r="EA229" s="409">
        <v>0</v>
      </c>
      <c r="EB229" s="409">
        <v>0</v>
      </c>
      <c r="EC229" s="409">
        <v>-13.233057245061197</v>
      </c>
      <c r="ED229" s="409">
        <v>0</v>
      </c>
      <c r="EE229" s="409">
        <v>0</v>
      </c>
      <c r="EF229" s="409">
        <v>0</v>
      </c>
      <c r="EG229" s="409">
        <v>0</v>
      </c>
      <c r="EH229" s="409">
        <v>0</v>
      </c>
      <c r="EI229" s="409">
        <v>0</v>
      </c>
      <c r="EJ229" s="409">
        <v>0</v>
      </c>
      <c r="EK229" s="409">
        <v>0</v>
      </c>
      <c r="EL229" s="409">
        <v>0</v>
      </c>
      <c r="EM229" s="409">
        <v>0</v>
      </c>
      <c r="EN229" s="409">
        <v>0</v>
      </c>
      <c r="EO229" s="409">
        <v>0</v>
      </c>
      <c r="EP229" s="409">
        <v>0</v>
      </c>
      <c r="EQ229" s="409">
        <v>0</v>
      </c>
      <c r="ER229" s="409">
        <v>0</v>
      </c>
      <c r="ES229" s="409">
        <v>0</v>
      </c>
      <c r="ET229" s="409">
        <v>0</v>
      </c>
      <c r="EU229" s="409">
        <v>0</v>
      </c>
      <c r="EV229" s="409">
        <v>254</v>
      </c>
      <c r="EW229" s="409">
        <v>0</v>
      </c>
      <c r="EX229" s="409">
        <v>0</v>
      </c>
      <c r="EY229" s="409">
        <v>0</v>
      </c>
      <c r="EZ229" s="409"/>
      <c r="FA229" s="409">
        <v>0</v>
      </c>
      <c r="FB229" s="409"/>
      <c r="FC229" s="409"/>
      <c r="FD229" s="409"/>
      <c r="FE229" s="409"/>
      <c r="FF229" s="409">
        <v>0</v>
      </c>
      <c r="FG229" s="409">
        <v>0</v>
      </c>
      <c r="FH229" s="409">
        <v>0</v>
      </c>
      <c r="FI229" s="409">
        <v>0</v>
      </c>
    </row>
    <row r="230" spans="1:165">
      <c r="A230" s="409">
        <v>228</v>
      </c>
      <c r="B230" s="409" t="s">
        <v>1035</v>
      </c>
      <c r="C230" s="409" t="s">
        <v>2244</v>
      </c>
      <c r="D230" s="409" t="s">
        <v>1994</v>
      </c>
      <c r="E230" s="409" t="s">
        <v>2255</v>
      </c>
      <c r="F230" s="409" t="s">
        <v>1323</v>
      </c>
      <c r="G230" s="409" t="s">
        <v>1323</v>
      </c>
      <c r="H230" s="409" t="s">
        <v>1323</v>
      </c>
      <c r="I230" s="409" t="s">
        <v>1323</v>
      </c>
      <c r="J230" s="409" t="s">
        <v>2245</v>
      </c>
      <c r="K230" s="835">
        <v>44531</v>
      </c>
      <c r="L230" s="409">
        <v>0</v>
      </c>
      <c r="M230" s="409">
        <v>0</v>
      </c>
      <c r="N230" s="409">
        <v>19.696000000000002</v>
      </c>
      <c r="O230" s="409">
        <v>19.696000000000002</v>
      </c>
      <c r="P230" s="409">
        <v>19.696000000000002</v>
      </c>
      <c r="Q230" s="409">
        <v>19.696000000000002</v>
      </c>
      <c r="R230" s="409"/>
      <c r="S230" s="409">
        <v>597.01</v>
      </c>
      <c r="T230" s="409">
        <v>243.39</v>
      </c>
      <c r="U230" s="409"/>
      <c r="V230" s="409">
        <v>16552.518400000001</v>
      </c>
      <c r="W230" s="409">
        <v>16552.518400000001</v>
      </c>
      <c r="X230" s="409">
        <v>14994.170880000001</v>
      </c>
      <c r="Y230" s="409">
        <v>0</v>
      </c>
      <c r="Z230" s="409">
        <v>490.10497215453199</v>
      </c>
      <c r="AA230" s="409">
        <v>0</v>
      </c>
      <c r="AB230" s="409">
        <v>0</v>
      </c>
      <c r="AC230" s="409">
        <v>0</v>
      </c>
      <c r="AD230" s="409">
        <v>2308.1558362505029</v>
      </c>
      <c r="AE230" s="409">
        <v>8076.1187837291336</v>
      </c>
      <c r="AF230" s="409">
        <v>4793.7551736055775</v>
      </c>
      <c r="AG230" s="409">
        <v>0</v>
      </c>
      <c r="AH230" s="409">
        <v>0</v>
      </c>
      <c r="AI230" s="409">
        <v>0</v>
      </c>
      <c r="AJ230" s="409">
        <v>0</v>
      </c>
      <c r="AK230" s="409">
        <v>0</v>
      </c>
      <c r="AL230" s="409">
        <v>200.09345289733446</v>
      </c>
      <c r="AM230" s="409"/>
      <c r="AN230" s="409">
        <v>33.815499491416212</v>
      </c>
      <c r="AO230" s="409">
        <v>0</v>
      </c>
      <c r="AP230" s="409">
        <v>0</v>
      </c>
      <c r="AQ230" s="409">
        <v>0</v>
      </c>
      <c r="AR230" s="409">
        <v>0</v>
      </c>
      <c r="AS230" s="409">
        <v>0</v>
      </c>
      <c r="AT230" s="409">
        <v>0</v>
      </c>
      <c r="AU230" s="409">
        <v>0</v>
      </c>
      <c r="AV230" s="409">
        <v>0</v>
      </c>
      <c r="AW230" s="409">
        <v>0</v>
      </c>
      <c r="AX230" s="409">
        <v>0</v>
      </c>
      <c r="AY230" s="409">
        <v>0</v>
      </c>
      <c r="AZ230" s="409">
        <v>0</v>
      </c>
      <c r="BA230" s="409"/>
      <c r="BB230" s="409">
        <v>0</v>
      </c>
      <c r="BC230" s="409">
        <v>0</v>
      </c>
      <c r="BD230" s="409">
        <v>0</v>
      </c>
      <c r="BE230" s="409">
        <v>0</v>
      </c>
      <c r="BF230" s="409">
        <v>0</v>
      </c>
      <c r="BG230" s="409">
        <v>650.34871064418667</v>
      </c>
      <c r="BH230" s="409">
        <v>0</v>
      </c>
      <c r="BI230" s="409">
        <v>28.63</v>
      </c>
      <c r="BJ230" s="409">
        <v>132.16</v>
      </c>
      <c r="BK230" s="409">
        <v>1765.15</v>
      </c>
      <c r="BL230" s="409">
        <v>30</v>
      </c>
      <c r="BM230" s="409"/>
      <c r="BN230" s="409"/>
      <c r="BO230" s="409"/>
      <c r="BP230" s="409"/>
      <c r="BQ230" s="409"/>
      <c r="BR230" s="409"/>
      <c r="BS230" s="409"/>
      <c r="BT230" s="409"/>
      <c r="BU230" s="409"/>
      <c r="BV230" s="409">
        <v>5444.1038842497637</v>
      </c>
      <c r="BW230" s="409"/>
      <c r="BX230" s="409"/>
      <c r="BY230" s="409"/>
      <c r="BZ230" s="409"/>
      <c r="CA230" s="409"/>
      <c r="CB230" s="409"/>
      <c r="CC230" s="409"/>
      <c r="CD230" s="409"/>
      <c r="CE230" s="409"/>
      <c r="CF230" s="409"/>
      <c r="CG230" s="409"/>
      <c r="CH230" s="409"/>
      <c r="CI230" s="409">
        <v>14997.216</v>
      </c>
      <c r="CJ230" s="409">
        <v>-1555.3323999999993</v>
      </c>
      <c r="CK230" s="409"/>
      <c r="CL230" s="409"/>
      <c r="CM230" s="409"/>
      <c r="CN230" s="409"/>
      <c r="CO230" s="409">
        <v>-1724.9756799999998</v>
      </c>
      <c r="CP230" s="409">
        <v>166.62816000000018</v>
      </c>
      <c r="CQ230" s="409"/>
      <c r="CR230" s="409">
        <v>292.95481802175163</v>
      </c>
      <c r="CS230" s="409">
        <v>0</v>
      </c>
      <c r="CT230" s="409">
        <v>0</v>
      </c>
      <c r="CU230" s="409">
        <v>0</v>
      </c>
      <c r="CV230" s="409">
        <v>0</v>
      </c>
      <c r="CW230" s="409">
        <v>0</v>
      </c>
      <c r="CX230" s="409">
        <v>0</v>
      </c>
      <c r="CY230" s="409">
        <v>0</v>
      </c>
      <c r="CZ230" s="409">
        <v>86.534189291157418</v>
      </c>
      <c r="DA230" s="409">
        <v>0</v>
      </c>
      <c r="DB230" s="409">
        <v>0</v>
      </c>
      <c r="DC230" s="409">
        <v>219.60147749774751</v>
      </c>
      <c r="DD230" s="409">
        <v>0</v>
      </c>
      <c r="DE230" s="409">
        <v>0</v>
      </c>
      <c r="DF230" s="409">
        <v>0</v>
      </c>
      <c r="DG230" s="409">
        <v>29.792413791293711</v>
      </c>
      <c r="DH230" s="409">
        <v>0</v>
      </c>
      <c r="DI230" s="409">
        <v>-3.5742771031513598</v>
      </c>
      <c r="DJ230" s="409"/>
      <c r="DK230" s="409">
        <v>0</v>
      </c>
      <c r="DL230" s="409">
        <v>0</v>
      </c>
      <c r="DM230" s="409">
        <v>0</v>
      </c>
      <c r="DN230" s="409">
        <v>0</v>
      </c>
      <c r="DO230" s="409">
        <v>-1.1223146162612068</v>
      </c>
      <c r="DP230" s="409">
        <v>-1.991846060552664</v>
      </c>
      <c r="DQ230" s="409">
        <v>0</v>
      </c>
      <c r="DR230" s="409">
        <v>-36.284824778480655</v>
      </c>
      <c r="DS230" s="409"/>
      <c r="DT230" s="409"/>
      <c r="DU230" s="409"/>
      <c r="DV230" s="409">
        <v>8076.1187837291336</v>
      </c>
      <c r="DW230" s="409">
        <v>0</v>
      </c>
      <c r="DX230" s="409">
        <v>0</v>
      </c>
      <c r="DY230" s="409">
        <v>-1724.9756799999996</v>
      </c>
      <c r="DZ230" s="409">
        <v>166.62816000000021</v>
      </c>
      <c r="EA230" s="409">
        <v>0</v>
      </c>
      <c r="EB230" s="409">
        <v>0</v>
      </c>
      <c r="EC230" s="409">
        <v>-1851.2363306443649</v>
      </c>
      <c r="ED230" s="409">
        <v>0</v>
      </c>
      <c r="EE230" s="409">
        <v>0</v>
      </c>
      <c r="EF230" s="409">
        <v>0</v>
      </c>
      <c r="EG230" s="409">
        <v>0</v>
      </c>
      <c r="EH230" s="409">
        <v>0</v>
      </c>
      <c r="EI230" s="409">
        <v>0</v>
      </c>
      <c r="EJ230" s="409">
        <v>0</v>
      </c>
      <c r="EK230" s="409">
        <v>0</v>
      </c>
      <c r="EL230" s="409">
        <v>0</v>
      </c>
      <c r="EM230" s="409">
        <v>0</v>
      </c>
      <c r="EN230" s="409">
        <v>0</v>
      </c>
      <c r="EO230" s="409">
        <v>0</v>
      </c>
      <c r="EP230" s="409">
        <v>0</v>
      </c>
      <c r="EQ230" s="409">
        <v>0</v>
      </c>
      <c r="ER230" s="409">
        <v>0</v>
      </c>
      <c r="ES230" s="409">
        <v>0</v>
      </c>
      <c r="ET230" s="409">
        <v>0</v>
      </c>
      <c r="EU230" s="409">
        <v>0</v>
      </c>
      <c r="EV230" s="409">
        <v>254</v>
      </c>
      <c r="EW230" s="409">
        <v>0</v>
      </c>
      <c r="EX230" s="409">
        <v>0</v>
      </c>
      <c r="EY230" s="409">
        <v>0</v>
      </c>
      <c r="EZ230" s="409"/>
      <c r="FA230" s="409">
        <v>0</v>
      </c>
      <c r="FB230" s="409"/>
      <c r="FC230" s="409"/>
      <c r="FD230" s="409"/>
      <c r="FE230" s="409"/>
      <c r="FF230" s="409">
        <v>0</v>
      </c>
      <c r="FG230" s="409">
        <v>0</v>
      </c>
      <c r="FH230" s="409">
        <v>0</v>
      </c>
      <c r="FI230" s="409">
        <v>0</v>
      </c>
    </row>
    <row r="231" spans="1:165">
      <c r="A231" s="409">
        <v>229</v>
      </c>
      <c r="B231" s="409" t="s">
        <v>1035</v>
      </c>
      <c r="C231" s="409" t="s">
        <v>2244</v>
      </c>
      <c r="D231" s="409" t="s">
        <v>2256</v>
      </c>
      <c r="E231" s="409" t="s">
        <v>2257</v>
      </c>
      <c r="F231" s="409" t="s">
        <v>2258</v>
      </c>
      <c r="G231" s="409" t="s">
        <v>1323</v>
      </c>
      <c r="H231" s="409" t="s">
        <v>1323</v>
      </c>
      <c r="I231" s="409" t="s">
        <v>1323</v>
      </c>
      <c r="J231" s="409" t="s">
        <v>2245</v>
      </c>
      <c r="K231" s="835">
        <v>44531</v>
      </c>
      <c r="L231" s="409">
        <v>0</v>
      </c>
      <c r="M231" s="409">
        <v>0</v>
      </c>
      <c r="N231" s="409">
        <v>128.922</v>
      </c>
      <c r="O231" s="409">
        <v>128.922</v>
      </c>
      <c r="P231" s="409">
        <v>128.922</v>
      </c>
      <c r="Q231" s="409">
        <v>128.922</v>
      </c>
      <c r="R231" s="409"/>
      <c r="S231" s="409">
        <v>328.35</v>
      </c>
      <c r="T231" s="409">
        <v>133.86000000000001</v>
      </c>
      <c r="U231" s="409"/>
      <c r="V231" s="409">
        <v>59589.037620000003</v>
      </c>
      <c r="W231" s="409">
        <v>59589.037620000003</v>
      </c>
      <c r="X231" s="409">
        <v>53979.641400000008</v>
      </c>
      <c r="Y231" s="409">
        <v>0</v>
      </c>
      <c r="Z231" s="409">
        <v>1764.4152249725153</v>
      </c>
      <c r="AA231" s="409">
        <v>0</v>
      </c>
      <c r="AB231" s="409">
        <v>0</v>
      </c>
      <c r="AC231" s="409">
        <v>0</v>
      </c>
      <c r="AD231" s="409">
        <v>8309.5367941002241</v>
      </c>
      <c r="AE231" s="409">
        <v>29074.642679212073</v>
      </c>
      <c r="AF231" s="409">
        <v>17257.883705847293</v>
      </c>
      <c r="AG231" s="409">
        <v>0</v>
      </c>
      <c r="AH231" s="409">
        <v>0</v>
      </c>
      <c r="AI231" s="409">
        <v>0</v>
      </c>
      <c r="AJ231" s="409">
        <v>0</v>
      </c>
      <c r="AK231" s="409">
        <v>0</v>
      </c>
      <c r="AL231" s="409">
        <v>720.3516690666421</v>
      </c>
      <c r="AM231" s="409"/>
      <c r="AN231" s="409">
        <v>121.73837347622884</v>
      </c>
      <c r="AO231" s="409">
        <v>0</v>
      </c>
      <c r="AP231" s="409">
        <v>0</v>
      </c>
      <c r="AQ231" s="409">
        <v>0</v>
      </c>
      <c r="AR231" s="409">
        <v>0</v>
      </c>
      <c r="AS231" s="409">
        <v>0</v>
      </c>
      <c r="AT231" s="409">
        <v>0</v>
      </c>
      <c r="AU231" s="409">
        <v>0</v>
      </c>
      <c r="AV231" s="409">
        <v>0</v>
      </c>
      <c r="AW231" s="409">
        <v>0</v>
      </c>
      <c r="AX231" s="409">
        <v>0</v>
      </c>
      <c r="AY231" s="409">
        <v>0</v>
      </c>
      <c r="AZ231" s="409">
        <v>0</v>
      </c>
      <c r="BA231" s="409"/>
      <c r="BB231" s="409">
        <v>0</v>
      </c>
      <c r="BC231" s="409">
        <v>0</v>
      </c>
      <c r="BD231" s="409">
        <v>0</v>
      </c>
      <c r="BE231" s="409">
        <v>0</v>
      </c>
      <c r="BF231" s="409">
        <v>0</v>
      </c>
      <c r="BG231" s="409">
        <v>2341.3048873130842</v>
      </c>
      <c r="BH231" s="409">
        <v>0</v>
      </c>
      <c r="BI231" s="409">
        <v>0</v>
      </c>
      <c r="BJ231" s="409">
        <v>0</v>
      </c>
      <c r="BK231" s="409">
        <v>0</v>
      </c>
      <c r="BL231" s="409">
        <v>5</v>
      </c>
      <c r="BM231" s="409"/>
      <c r="BN231" s="409"/>
      <c r="BO231" s="409"/>
      <c r="BP231" s="409"/>
      <c r="BQ231" s="409"/>
      <c r="BR231" s="409"/>
      <c r="BS231" s="409"/>
      <c r="BT231" s="409"/>
      <c r="BU231" s="409"/>
      <c r="BV231" s="409">
        <v>19599.188593160376</v>
      </c>
      <c r="BW231" s="409"/>
      <c r="BX231" s="409"/>
      <c r="BY231" s="409"/>
      <c r="BZ231" s="409"/>
      <c r="CA231" s="409"/>
      <c r="CB231" s="409"/>
      <c r="CC231" s="409"/>
      <c r="CD231" s="409"/>
      <c r="CE231" s="409"/>
      <c r="CF231" s="409"/>
      <c r="CG231" s="409"/>
      <c r="CH231" s="409"/>
      <c r="CI231" s="409">
        <v>53978.804000000004</v>
      </c>
      <c r="CJ231" s="409">
        <v>-5610.2636200000052</v>
      </c>
      <c r="CK231" s="409"/>
      <c r="CL231" s="409"/>
      <c r="CM231" s="409"/>
      <c r="CN231" s="409"/>
      <c r="CO231" s="409">
        <v>-6210.1727400000018</v>
      </c>
      <c r="CP231" s="409">
        <v>600.77651999999955</v>
      </c>
      <c r="CQ231" s="409"/>
      <c r="CR231" s="409">
        <v>1054.6596556127806</v>
      </c>
      <c r="CS231" s="409">
        <v>0</v>
      </c>
      <c r="CT231" s="409">
        <v>0</v>
      </c>
      <c r="CU231" s="409">
        <v>0</v>
      </c>
      <c r="CV231" s="409">
        <v>0</v>
      </c>
      <c r="CW231" s="409">
        <v>0</v>
      </c>
      <c r="CX231" s="409">
        <v>0</v>
      </c>
      <c r="CY231" s="409">
        <v>0</v>
      </c>
      <c r="CZ231" s="409">
        <v>311.52967168392752</v>
      </c>
      <c r="DA231" s="409">
        <v>0</v>
      </c>
      <c r="DB231" s="409">
        <v>0</v>
      </c>
      <c r="DC231" s="409">
        <v>790.58204331236266</v>
      </c>
      <c r="DD231" s="409">
        <v>0</v>
      </c>
      <c r="DE231" s="409">
        <v>0</v>
      </c>
      <c r="DF231" s="409">
        <v>0</v>
      </c>
      <c r="DG231" s="409">
        <v>107.2549585672441</v>
      </c>
      <c r="DH231" s="409">
        <v>0</v>
      </c>
      <c r="DI231" s="409">
        <v>-12.867669779696598</v>
      </c>
      <c r="DJ231" s="409"/>
      <c r="DK231" s="409">
        <v>0</v>
      </c>
      <c r="DL231" s="409">
        <v>0</v>
      </c>
      <c r="DM231" s="409">
        <v>0</v>
      </c>
      <c r="DN231" s="409">
        <v>0</v>
      </c>
      <c r="DO231" s="409">
        <v>-4.0404180913202481</v>
      </c>
      <c r="DP231" s="409">
        <v>-7.170797512196259</v>
      </c>
      <c r="DQ231" s="409">
        <v>0</v>
      </c>
      <c r="DR231" s="409">
        <v>-130.62813256753753</v>
      </c>
      <c r="DS231" s="409"/>
      <c r="DT231" s="409"/>
      <c r="DU231" s="409"/>
      <c r="DV231" s="409">
        <v>29074.642679212073</v>
      </c>
      <c r="DW231" s="409">
        <v>0</v>
      </c>
      <c r="DX231" s="409">
        <v>0</v>
      </c>
      <c r="DY231" s="409">
        <v>-6210.1727400000018</v>
      </c>
      <c r="DZ231" s="409">
        <v>600.77651999999944</v>
      </c>
      <c r="EA231" s="409">
        <v>0</v>
      </c>
      <c r="EB231" s="409">
        <v>0</v>
      </c>
      <c r="EC231" s="409">
        <v>-6664.5917760273296</v>
      </c>
      <c r="ED231" s="409">
        <v>0</v>
      </c>
      <c r="EE231" s="409">
        <v>0</v>
      </c>
      <c r="EF231" s="409">
        <v>0</v>
      </c>
      <c r="EG231" s="409">
        <v>0</v>
      </c>
      <c r="EH231" s="409">
        <v>0</v>
      </c>
      <c r="EI231" s="409">
        <v>0</v>
      </c>
      <c r="EJ231" s="409">
        <v>0</v>
      </c>
      <c r="EK231" s="409">
        <v>0</v>
      </c>
      <c r="EL231" s="409">
        <v>0</v>
      </c>
      <c r="EM231" s="409">
        <v>0</v>
      </c>
      <c r="EN231" s="409">
        <v>0</v>
      </c>
      <c r="EO231" s="409">
        <v>0</v>
      </c>
      <c r="EP231" s="409">
        <v>0</v>
      </c>
      <c r="EQ231" s="409">
        <v>0</v>
      </c>
      <c r="ER231" s="409">
        <v>0</v>
      </c>
      <c r="ES231" s="409">
        <v>0</v>
      </c>
      <c r="ET231" s="409">
        <v>0</v>
      </c>
      <c r="EU231" s="409">
        <v>0</v>
      </c>
      <c r="EV231" s="409">
        <v>254</v>
      </c>
      <c r="EW231" s="409">
        <v>0</v>
      </c>
      <c r="EX231" s="409">
        <v>0</v>
      </c>
      <c r="EY231" s="409">
        <v>0</v>
      </c>
      <c r="EZ231" s="409"/>
      <c r="FA231" s="409">
        <v>0</v>
      </c>
      <c r="FB231" s="409"/>
      <c r="FC231" s="409"/>
      <c r="FD231" s="409"/>
      <c r="FE231" s="409"/>
      <c r="FF231" s="409">
        <v>0</v>
      </c>
      <c r="FG231" s="409">
        <v>0</v>
      </c>
      <c r="FH231" s="409">
        <v>0</v>
      </c>
      <c r="FI231" s="409">
        <v>0</v>
      </c>
    </row>
    <row r="232" spans="1:165">
      <c r="A232" s="409">
        <v>230</v>
      </c>
      <c r="B232" s="409" t="s">
        <v>1035</v>
      </c>
      <c r="C232" s="409" t="s">
        <v>2244</v>
      </c>
      <c r="D232" s="409" t="s">
        <v>1994</v>
      </c>
      <c r="E232" s="409" t="s">
        <v>1000</v>
      </c>
      <c r="F232" s="409" t="s">
        <v>2259</v>
      </c>
      <c r="G232" s="409" t="s">
        <v>1323</v>
      </c>
      <c r="H232" s="409" t="s">
        <v>1323</v>
      </c>
      <c r="I232" s="409" t="s">
        <v>1323</v>
      </c>
      <c r="J232" s="409" t="s">
        <v>2245</v>
      </c>
      <c r="K232" s="835">
        <v>44531</v>
      </c>
      <c r="L232" s="409">
        <v>0</v>
      </c>
      <c r="M232" s="409">
        <v>0</v>
      </c>
      <c r="N232" s="409">
        <v>65.108999999999995</v>
      </c>
      <c r="O232" s="409">
        <v>61.202460000000002</v>
      </c>
      <c r="P232" s="409">
        <v>65.108999999999995</v>
      </c>
      <c r="Q232" s="409">
        <v>61.202460000000002</v>
      </c>
      <c r="R232" s="409"/>
      <c r="S232" s="409">
        <v>597.01</v>
      </c>
      <c r="T232" s="409">
        <v>243.39</v>
      </c>
      <c r="U232" s="409"/>
      <c r="V232" s="409">
        <v>54717.603599999995</v>
      </c>
      <c r="W232" s="409">
        <v>54717.603599999995</v>
      </c>
      <c r="X232" s="409">
        <v>49566.179519999991</v>
      </c>
      <c r="Y232" s="409">
        <v>0</v>
      </c>
      <c r="Z232" s="409">
        <v>1620.1383342815504</v>
      </c>
      <c r="AA232" s="409">
        <v>0</v>
      </c>
      <c r="AB232" s="409">
        <v>0</v>
      </c>
      <c r="AC232" s="409">
        <v>0</v>
      </c>
      <c r="AD232" s="409">
        <v>7630.0628727880767</v>
      </c>
      <c r="AE232" s="409">
        <v>26697.198308784526</v>
      </c>
      <c r="AF232" s="409">
        <v>15846.700121765105</v>
      </c>
      <c r="AG232" s="409">
        <v>0</v>
      </c>
      <c r="AH232" s="409">
        <v>0</v>
      </c>
      <c r="AI232" s="409">
        <v>0</v>
      </c>
      <c r="AJ232" s="409">
        <v>0</v>
      </c>
      <c r="AK232" s="409">
        <v>0</v>
      </c>
      <c r="AL232" s="409">
        <v>661.44824455181492</v>
      </c>
      <c r="AM232" s="409"/>
      <c r="AN232" s="409">
        <v>111.78378129501512</v>
      </c>
      <c r="AO232" s="409">
        <v>0</v>
      </c>
      <c r="AP232" s="409">
        <v>0</v>
      </c>
      <c r="AQ232" s="409">
        <v>0</v>
      </c>
      <c r="AR232" s="409">
        <v>0</v>
      </c>
      <c r="AS232" s="409">
        <v>0</v>
      </c>
      <c r="AT232" s="409">
        <v>0</v>
      </c>
      <c r="AU232" s="409">
        <v>0</v>
      </c>
      <c r="AV232" s="409">
        <v>0</v>
      </c>
      <c r="AW232" s="409">
        <v>0</v>
      </c>
      <c r="AX232" s="409">
        <v>0</v>
      </c>
      <c r="AY232" s="409">
        <v>0</v>
      </c>
      <c r="AZ232" s="409">
        <v>0</v>
      </c>
      <c r="BA232" s="409"/>
      <c r="BB232" s="409">
        <v>0</v>
      </c>
      <c r="BC232" s="409">
        <v>0</v>
      </c>
      <c r="BD232" s="409">
        <v>0</v>
      </c>
      <c r="BE232" s="409">
        <v>0</v>
      </c>
      <c r="BF232" s="409">
        <v>0</v>
      </c>
      <c r="BG232" s="409">
        <v>2149.8555138775559</v>
      </c>
      <c r="BH232" s="409">
        <v>0</v>
      </c>
      <c r="BI232" s="409">
        <v>0</v>
      </c>
      <c r="BJ232" s="409">
        <v>0</v>
      </c>
      <c r="BK232" s="409">
        <v>0</v>
      </c>
      <c r="BL232" s="409">
        <v>9</v>
      </c>
      <c r="BM232" s="409"/>
      <c r="BN232" s="409"/>
      <c r="BO232" s="409"/>
      <c r="BP232" s="409"/>
      <c r="BQ232" s="409">
        <v>2973.9707711999945</v>
      </c>
      <c r="BR232" s="409"/>
      <c r="BS232" s="409"/>
      <c r="BT232" s="409"/>
      <c r="BU232" s="409"/>
      <c r="BV232" s="409">
        <v>17996.55563564266</v>
      </c>
      <c r="BW232" s="409"/>
      <c r="BX232" s="409"/>
      <c r="BY232" s="409"/>
      <c r="BZ232" s="409"/>
      <c r="CA232" s="409"/>
      <c r="CB232" s="409"/>
      <c r="CC232" s="409"/>
      <c r="CD232" s="409"/>
      <c r="CE232" s="409"/>
      <c r="CF232" s="409"/>
      <c r="CG232" s="409"/>
      <c r="CH232" s="409"/>
      <c r="CI232" s="409">
        <v>46590.336000000003</v>
      </c>
      <c r="CJ232" s="409">
        <v>-4844.2413840000008</v>
      </c>
      <c r="CK232" s="409"/>
      <c r="CL232" s="409"/>
      <c r="CM232" s="409"/>
      <c r="CN232" s="409"/>
      <c r="CO232" s="409">
        <v>-5702.2462199999982</v>
      </c>
      <c r="CP232" s="409">
        <v>550.82214000000045</v>
      </c>
      <c r="CQ232" s="409"/>
      <c r="CR232" s="409">
        <v>968.41974241360003</v>
      </c>
      <c r="CS232" s="409">
        <v>0</v>
      </c>
      <c r="CT232" s="409">
        <v>0</v>
      </c>
      <c r="CU232" s="409">
        <v>0</v>
      </c>
      <c r="CV232" s="409">
        <v>0</v>
      </c>
      <c r="CW232" s="409">
        <v>0</v>
      </c>
      <c r="CX232" s="409">
        <v>0</v>
      </c>
      <c r="CY232" s="409">
        <v>0</v>
      </c>
      <c r="CZ232" s="409">
        <v>286.05577429721598</v>
      </c>
      <c r="DA232" s="409">
        <v>0</v>
      </c>
      <c r="DB232" s="409">
        <v>0</v>
      </c>
      <c r="DC232" s="409">
        <v>725.93585491474369</v>
      </c>
      <c r="DD232" s="409">
        <v>0</v>
      </c>
      <c r="DE232" s="409">
        <v>0</v>
      </c>
      <c r="DF232" s="409">
        <v>0</v>
      </c>
      <c r="DG232" s="409">
        <v>98.484680622326323</v>
      </c>
      <c r="DH232" s="409">
        <v>0</v>
      </c>
      <c r="DI232" s="409">
        <v>-11.815475624953478</v>
      </c>
      <c r="DJ232" s="409"/>
      <c r="DK232" s="409">
        <v>0</v>
      </c>
      <c r="DL232" s="409">
        <v>0</v>
      </c>
      <c r="DM232" s="409">
        <v>0</v>
      </c>
      <c r="DN232" s="409">
        <v>0</v>
      </c>
      <c r="DO232" s="409">
        <v>-3.7100315977939999</v>
      </c>
      <c r="DP232" s="409">
        <v>-6.5844387264684769</v>
      </c>
      <c r="DQ232" s="409">
        <v>0</v>
      </c>
      <c r="DR232" s="409">
        <v>-119.94662147147118</v>
      </c>
      <c r="DS232" s="409"/>
      <c r="DT232" s="409"/>
      <c r="DU232" s="409"/>
      <c r="DV232" s="409">
        <v>26697.198308784526</v>
      </c>
      <c r="DW232" s="409">
        <v>0</v>
      </c>
      <c r="DX232" s="409">
        <v>0</v>
      </c>
      <c r="DY232" s="409">
        <v>-5702.2462200000009</v>
      </c>
      <c r="DZ232" s="409">
        <v>550.82214000000204</v>
      </c>
      <c r="EA232" s="409">
        <v>0</v>
      </c>
      <c r="EB232" s="409">
        <v>0</v>
      </c>
      <c r="EC232" s="409">
        <v>-6119.6256220513715</v>
      </c>
      <c r="ED232" s="409">
        <v>0</v>
      </c>
      <c r="EE232" s="409">
        <v>0</v>
      </c>
      <c r="EF232" s="409">
        <v>0</v>
      </c>
      <c r="EG232" s="409">
        <v>0</v>
      </c>
      <c r="EH232" s="409">
        <v>0</v>
      </c>
      <c r="EI232" s="409">
        <v>0</v>
      </c>
      <c r="EJ232" s="409">
        <v>0</v>
      </c>
      <c r="EK232" s="409">
        <v>0</v>
      </c>
      <c r="EL232" s="409">
        <v>0</v>
      </c>
      <c r="EM232" s="409">
        <v>0</v>
      </c>
      <c r="EN232" s="409">
        <v>0</v>
      </c>
      <c r="EO232" s="409">
        <v>0</v>
      </c>
      <c r="EP232" s="409">
        <v>0</v>
      </c>
      <c r="EQ232" s="409">
        <v>0</v>
      </c>
      <c r="ER232" s="409">
        <v>0</v>
      </c>
      <c r="ES232" s="409">
        <v>0</v>
      </c>
      <c r="ET232" s="409">
        <v>0</v>
      </c>
      <c r="EU232" s="409">
        <v>0</v>
      </c>
      <c r="EV232" s="409">
        <v>254</v>
      </c>
      <c r="EW232" s="409">
        <v>0</v>
      </c>
      <c r="EX232" s="409">
        <v>0</v>
      </c>
      <c r="EY232" s="409">
        <v>0</v>
      </c>
      <c r="EZ232" s="409"/>
      <c r="FA232" s="409">
        <v>0</v>
      </c>
      <c r="FB232" s="409"/>
      <c r="FC232" s="409"/>
      <c r="FD232" s="409"/>
      <c r="FE232" s="409"/>
      <c r="FF232" s="409">
        <v>0</v>
      </c>
      <c r="FG232" s="409">
        <v>0</v>
      </c>
      <c r="FH232" s="409">
        <v>0</v>
      </c>
      <c r="FI232" s="409">
        <v>0</v>
      </c>
    </row>
    <row r="233" spans="1:165">
      <c r="A233" s="409">
        <v>231</v>
      </c>
      <c r="B233" s="409" t="s">
        <v>1035</v>
      </c>
      <c r="C233" s="409" t="s">
        <v>2244</v>
      </c>
      <c r="D233" s="409" t="s">
        <v>1994</v>
      </c>
      <c r="E233" s="409" t="s">
        <v>2260</v>
      </c>
      <c r="F233" s="409" t="s">
        <v>1323</v>
      </c>
      <c r="G233" s="409" t="s">
        <v>1323</v>
      </c>
      <c r="H233" s="409" t="s">
        <v>1323</v>
      </c>
      <c r="I233" s="409" t="s">
        <v>1323</v>
      </c>
      <c r="J233" s="409" t="s">
        <v>2245</v>
      </c>
      <c r="K233" s="835">
        <v>44531</v>
      </c>
      <c r="L233" s="409">
        <v>0</v>
      </c>
      <c r="M233" s="409">
        <v>0</v>
      </c>
      <c r="N233" s="409">
        <v>4.07</v>
      </c>
      <c r="O233" s="409">
        <v>4.07</v>
      </c>
      <c r="P233" s="409">
        <v>4.07</v>
      </c>
      <c r="Q233" s="409">
        <v>4.07</v>
      </c>
      <c r="R233" s="409"/>
      <c r="S233" s="409">
        <v>597.01</v>
      </c>
      <c r="T233" s="409">
        <v>243.39</v>
      </c>
      <c r="U233" s="409"/>
      <c r="V233" s="409">
        <v>3420.4279999999999</v>
      </c>
      <c r="W233" s="409">
        <v>3420.4279999999999</v>
      </c>
      <c r="X233" s="409">
        <v>3098.4096000000004</v>
      </c>
      <c r="Y233" s="409">
        <v>0</v>
      </c>
      <c r="Z233" s="409">
        <v>101.27575328335423</v>
      </c>
      <c r="AA233" s="409">
        <v>0</v>
      </c>
      <c r="AB233" s="409">
        <v>0</v>
      </c>
      <c r="AC233" s="409">
        <v>0</v>
      </c>
      <c r="AD233" s="409">
        <v>476.95949703186159</v>
      </c>
      <c r="AE233" s="409">
        <v>1668.8567957848077</v>
      </c>
      <c r="AF233" s="409">
        <v>990.58608634112011</v>
      </c>
      <c r="AG233" s="409">
        <v>0</v>
      </c>
      <c r="AH233" s="409">
        <v>0</v>
      </c>
      <c r="AI233" s="409">
        <v>0</v>
      </c>
      <c r="AJ233" s="409">
        <v>0</v>
      </c>
      <c r="AK233" s="409">
        <v>0</v>
      </c>
      <c r="AL233" s="409">
        <v>41.347499659430909</v>
      </c>
      <c r="AM233" s="409"/>
      <c r="AN233" s="409">
        <v>6.987666680039804</v>
      </c>
      <c r="AO233" s="409">
        <v>0</v>
      </c>
      <c r="AP233" s="409">
        <v>0</v>
      </c>
      <c r="AQ233" s="409">
        <v>0</v>
      </c>
      <c r="AR233" s="409">
        <v>0</v>
      </c>
      <c r="AS233" s="409">
        <v>0</v>
      </c>
      <c r="AT233" s="409">
        <v>0</v>
      </c>
      <c r="AU233" s="409">
        <v>0</v>
      </c>
      <c r="AV233" s="409">
        <v>0</v>
      </c>
      <c r="AW233" s="409">
        <v>0</v>
      </c>
      <c r="AX233" s="409">
        <v>0</v>
      </c>
      <c r="AY233" s="409">
        <v>0</v>
      </c>
      <c r="AZ233" s="409">
        <v>0</v>
      </c>
      <c r="BA233" s="409"/>
      <c r="BB233" s="409">
        <v>0</v>
      </c>
      <c r="BC233" s="409">
        <v>0</v>
      </c>
      <c r="BD233" s="409">
        <v>0</v>
      </c>
      <c r="BE233" s="409">
        <v>0</v>
      </c>
      <c r="BF233" s="409">
        <v>0</v>
      </c>
      <c r="BG233" s="409">
        <v>134.38867040626724</v>
      </c>
      <c r="BH233" s="409">
        <v>0</v>
      </c>
      <c r="BI233" s="409">
        <v>0</v>
      </c>
      <c r="BJ233" s="409">
        <v>0</v>
      </c>
      <c r="BK233" s="409">
        <v>1225.45</v>
      </c>
      <c r="BL233" s="409">
        <v>3</v>
      </c>
      <c r="BM233" s="409"/>
      <c r="BN233" s="409"/>
      <c r="BO233" s="409"/>
      <c r="BP233" s="409"/>
      <c r="BQ233" s="409"/>
      <c r="BR233" s="409"/>
      <c r="BS233" s="409"/>
      <c r="BT233" s="409"/>
      <c r="BU233" s="409"/>
      <c r="BV233" s="409">
        <v>1124.9747567473873</v>
      </c>
      <c r="BW233" s="409"/>
      <c r="BX233" s="409"/>
      <c r="BY233" s="409"/>
      <c r="BZ233" s="409"/>
      <c r="CA233" s="409"/>
      <c r="CB233" s="409"/>
      <c r="CC233" s="409"/>
      <c r="CD233" s="409"/>
      <c r="CE233" s="409"/>
      <c r="CF233" s="409"/>
      <c r="CG233" s="409"/>
      <c r="CH233" s="409"/>
      <c r="CI233" s="409">
        <v>3098.4096000000004</v>
      </c>
      <c r="CJ233" s="409">
        <v>-322.04840000000013</v>
      </c>
      <c r="CK233" s="409"/>
      <c r="CL233" s="409"/>
      <c r="CM233" s="409"/>
      <c r="CN233" s="409"/>
      <c r="CO233" s="409">
        <v>-356.45059999999995</v>
      </c>
      <c r="CP233" s="409">
        <v>34.432200000000037</v>
      </c>
      <c r="CQ233" s="409"/>
      <c r="CR233" s="409">
        <v>60.536459654169903</v>
      </c>
      <c r="CS233" s="409">
        <v>0</v>
      </c>
      <c r="CT233" s="409">
        <v>0</v>
      </c>
      <c r="CU233" s="409">
        <v>0</v>
      </c>
      <c r="CV233" s="409">
        <v>0</v>
      </c>
      <c r="CW233" s="409">
        <v>0</v>
      </c>
      <c r="CX233" s="409">
        <v>0</v>
      </c>
      <c r="CY233" s="409">
        <v>0</v>
      </c>
      <c r="CZ233" s="409">
        <v>17.881506418308845</v>
      </c>
      <c r="DA233" s="409">
        <v>0</v>
      </c>
      <c r="DB233" s="409">
        <v>0</v>
      </c>
      <c r="DC233" s="409">
        <v>45.378656245726461</v>
      </c>
      <c r="DD233" s="409">
        <v>0</v>
      </c>
      <c r="DE233" s="409">
        <v>0</v>
      </c>
      <c r="DF233" s="409">
        <v>0</v>
      </c>
      <c r="DG233" s="409">
        <v>6.1563324599190423</v>
      </c>
      <c r="DH233" s="409">
        <v>0</v>
      </c>
      <c r="DI233" s="409">
        <v>-0.73859198871983267</v>
      </c>
      <c r="DJ233" s="409"/>
      <c r="DK233" s="409">
        <v>0</v>
      </c>
      <c r="DL233" s="409">
        <v>0</v>
      </c>
      <c r="DM233" s="409">
        <v>0</v>
      </c>
      <c r="DN233" s="409">
        <v>0</v>
      </c>
      <c r="DO233" s="409">
        <v>-0.23191614988743936</v>
      </c>
      <c r="DP233" s="409">
        <v>-0.41159694691558357</v>
      </c>
      <c r="DQ233" s="409">
        <v>0</v>
      </c>
      <c r="DR233" s="409">
        <v>-7.4979303842615881</v>
      </c>
      <c r="DS233" s="409"/>
      <c r="DT233" s="409"/>
      <c r="DU233" s="409"/>
      <c r="DV233" s="409">
        <v>1668.8567957848077</v>
      </c>
      <c r="DW233" s="409">
        <v>0</v>
      </c>
      <c r="DX233" s="409">
        <v>0</v>
      </c>
      <c r="DY233" s="409">
        <v>-356.45059999999967</v>
      </c>
      <c r="DZ233" s="409">
        <v>34.43220000000008</v>
      </c>
      <c r="EA233" s="409">
        <v>0</v>
      </c>
      <c r="EB233" s="409">
        <v>0</v>
      </c>
      <c r="EC233" s="409">
        <v>-382.54121982750621</v>
      </c>
      <c r="ED233" s="409">
        <v>0</v>
      </c>
      <c r="EE233" s="409">
        <v>0</v>
      </c>
      <c r="EF233" s="409">
        <v>0</v>
      </c>
      <c r="EG233" s="409">
        <v>0</v>
      </c>
      <c r="EH233" s="409">
        <v>0</v>
      </c>
      <c r="EI233" s="409">
        <v>0</v>
      </c>
      <c r="EJ233" s="409">
        <v>0</v>
      </c>
      <c r="EK233" s="409">
        <v>0</v>
      </c>
      <c r="EL233" s="409">
        <v>0</v>
      </c>
      <c r="EM233" s="409">
        <v>0</v>
      </c>
      <c r="EN233" s="409">
        <v>0</v>
      </c>
      <c r="EO233" s="409">
        <v>0</v>
      </c>
      <c r="EP233" s="409">
        <v>0</v>
      </c>
      <c r="EQ233" s="409">
        <v>0</v>
      </c>
      <c r="ER233" s="409">
        <v>0</v>
      </c>
      <c r="ES233" s="409">
        <v>0</v>
      </c>
      <c r="ET233" s="409">
        <v>0</v>
      </c>
      <c r="EU233" s="409">
        <v>0</v>
      </c>
      <c r="EV233" s="409">
        <v>254</v>
      </c>
      <c r="EW233" s="409">
        <v>0</v>
      </c>
      <c r="EX233" s="409">
        <v>0</v>
      </c>
      <c r="EY233" s="409">
        <v>0</v>
      </c>
      <c r="EZ233" s="409"/>
      <c r="FA233" s="409">
        <v>0</v>
      </c>
      <c r="FB233" s="409"/>
      <c r="FC233" s="409"/>
      <c r="FD233" s="409"/>
      <c r="FE233" s="409"/>
      <c r="FF233" s="409">
        <v>0</v>
      </c>
      <c r="FG233" s="409">
        <v>0</v>
      </c>
      <c r="FH233" s="409">
        <v>0</v>
      </c>
      <c r="FI233" s="409">
        <v>0</v>
      </c>
    </row>
    <row r="234" spans="1:165">
      <c r="A234" s="409">
        <v>232</v>
      </c>
      <c r="B234" s="409" t="s">
        <v>1035</v>
      </c>
      <c r="C234" s="409" t="s">
        <v>2244</v>
      </c>
      <c r="D234" s="409" t="s">
        <v>2254</v>
      </c>
      <c r="E234" s="409" t="s">
        <v>973</v>
      </c>
      <c r="F234" s="409" t="s">
        <v>2261</v>
      </c>
      <c r="G234" s="409" t="s">
        <v>2262</v>
      </c>
      <c r="H234" s="409" t="s">
        <v>1323</v>
      </c>
      <c r="I234" s="409" t="s">
        <v>1323</v>
      </c>
      <c r="J234" s="409" t="s">
        <v>2245</v>
      </c>
      <c r="K234" s="835">
        <v>44531</v>
      </c>
      <c r="L234" s="409">
        <v>0</v>
      </c>
      <c r="M234" s="409">
        <v>0</v>
      </c>
      <c r="N234" s="409">
        <v>0</v>
      </c>
      <c r="O234" s="409">
        <v>0</v>
      </c>
      <c r="P234" s="409">
        <v>0</v>
      </c>
      <c r="Q234" s="409">
        <v>0</v>
      </c>
      <c r="R234" s="409"/>
      <c r="S234" s="409"/>
      <c r="T234" s="409"/>
      <c r="U234" s="409"/>
      <c r="V234" s="409"/>
      <c r="W234" s="409"/>
      <c r="X234" s="409"/>
      <c r="Y234" s="409"/>
      <c r="Z234" s="409"/>
      <c r="AA234" s="409">
        <v>0</v>
      </c>
      <c r="AB234" s="409"/>
      <c r="AC234" s="409"/>
      <c r="AD234" s="409"/>
      <c r="AE234" s="409"/>
      <c r="AF234" s="409"/>
      <c r="AG234" s="409"/>
      <c r="AH234" s="409"/>
      <c r="AI234" s="409"/>
      <c r="AJ234" s="409"/>
      <c r="AK234" s="409"/>
      <c r="AL234" s="409"/>
      <c r="AM234" s="409"/>
      <c r="AN234" s="409"/>
      <c r="AO234" s="409"/>
      <c r="AP234" s="409"/>
      <c r="AQ234" s="409"/>
      <c r="AR234" s="409"/>
      <c r="AS234" s="409"/>
      <c r="AT234" s="409"/>
      <c r="AU234" s="409"/>
      <c r="AV234" s="409"/>
      <c r="AW234" s="409"/>
      <c r="AX234" s="409"/>
      <c r="AY234" s="409"/>
      <c r="AZ234" s="409">
        <v>0</v>
      </c>
      <c r="BA234" s="409"/>
      <c r="BB234" s="409"/>
      <c r="BC234" s="409"/>
      <c r="BD234" s="409"/>
      <c r="BE234" s="409"/>
      <c r="BF234" s="409"/>
      <c r="BG234" s="409"/>
      <c r="BH234" s="409"/>
      <c r="BI234" s="409">
        <v>0</v>
      </c>
      <c r="BJ234" s="409">
        <v>0</v>
      </c>
      <c r="BK234" s="409">
        <v>0</v>
      </c>
      <c r="BL234" s="409">
        <v>7</v>
      </c>
      <c r="BM234" s="409"/>
      <c r="BN234" s="409"/>
      <c r="BO234" s="409"/>
      <c r="BP234" s="409"/>
      <c r="BQ234" s="409"/>
      <c r="BR234" s="409"/>
      <c r="BS234" s="409"/>
      <c r="BT234" s="409"/>
      <c r="BU234" s="409"/>
      <c r="BV234" s="409"/>
      <c r="BW234" s="409"/>
      <c r="BX234" s="409"/>
      <c r="BY234" s="409"/>
      <c r="BZ234" s="409"/>
      <c r="CA234" s="409"/>
      <c r="CB234" s="409"/>
      <c r="CC234" s="409"/>
      <c r="CD234" s="409"/>
      <c r="CE234" s="409"/>
      <c r="CF234" s="409"/>
      <c r="CG234" s="409"/>
      <c r="CH234" s="409"/>
      <c r="CI234" s="409"/>
      <c r="CJ234" s="409">
        <v>-0.03</v>
      </c>
      <c r="CK234" s="409"/>
      <c r="CL234" s="409"/>
      <c r="CM234" s="409"/>
      <c r="CN234" s="409"/>
      <c r="CO234" s="409">
        <v>0</v>
      </c>
      <c r="CP234" s="409">
        <v>0</v>
      </c>
      <c r="CQ234" s="409"/>
      <c r="CR234" s="409"/>
      <c r="CS234" s="409"/>
      <c r="CT234" s="409"/>
      <c r="CU234" s="409"/>
      <c r="CV234" s="409"/>
      <c r="CW234" s="409"/>
      <c r="CX234" s="409"/>
      <c r="CY234" s="409"/>
      <c r="CZ234" s="409"/>
      <c r="DA234" s="409"/>
      <c r="DB234" s="409"/>
      <c r="DC234" s="409"/>
      <c r="DD234" s="409"/>
      <c r="DE234" s="409"/>
      <c r="DF234" s="409"/>
      <c r="DG234" s="409"/>
      <c r="DH234" s="409"/>
      <c r="DI234" s="409"/>
      <c r="DJ234" s="409"/>
      <c r="DK234" s="409">
        <v>0</v>
      </c>
      <c r="DL234" s="409"/>
      <c r="DM234" s="409"/>
      <c r="DN234" s="409"/>
      <c r="DO234" s="409"/>
      <c r="DP234" s="409"/>
      <c r="DQ234" s="409"/>
      <c r="DR234" s="409"/>
      <c r="DS234" s="409"/>
      <c r="DT234" s="409"/>
      <c r="DU234" s="409"/>
      <c r="DV234" s="409"/>
      <c r="DW234" s="409"/>
      <c r="DX234" s="409"/>
      <c r="DY234" s="409"/>
      <c r="DZ234" s="409"/>
      <c r="EA234" s="409"/>
      <c r="EB234" s="409"/>
      <c r="EC234" s="409"/>
      <c r="ED234" s="409"/>
      <c r="EE234" s="409"/>
      <c r="EF234" s="409"/>
      <c r="EG234" s="409"/>
      <c r="EH234" s="409"/>
      <c r="EI234" s="409"/>
      <c r="EJ234" s="409"/>
      <c r="EK234" s="409"/>
      <c r="EL234" s="409"/>
      <c r="EM234" s="409"/>
      <c r="EN234" s="409"/>
      <c r="EO234" s="409"/>
      <c r="EP234" s="409"/>
      <c r="EQ234" s="409"/>
      <c r="ER234" s="409"/>
      <c r="ES234" s="409"/>
      <c r="ET234" s="409"/>
      <c r="EU234" s="409"/>
      <c r="EV234" s="409">
        <v>254</v>
      </c>
      <c r="EW234" s="409"/>
      <c r="EX234" s="409"/>
      <c r="EY234" s="409"/>
      <c r="EZ234" s="409"/>
      <c r="FA234" s="409">
        <v>0</v>
      </c>
      <c r="FB234" s="409"/>
      <c r="FC234" s="409"/>
      <c r="FD234" s="409"/>
      <c r="FE234" s="409"/>
      <c r="FF234" s="409">
        <v>0</v>
      </c>
      <c r="FG234" s="409">
        <v>0</v>
      </c>
      <c r="FH234" s="409">
        <v>0</v>
      </c>
      <c r="FI234" s="409">
        <v>0</v>
      </c>
    </row>
    <row r="235" spans="1:165">
      <c r="A235" s="409">
        <v>233</v>
      </c>
      <c r="B235" s="409" t="s">
        <v>1035</v>
      </c>
      <c r="C235" s="409" t="s">
        <v>2244</v>
      </c>
      <c r="D235" s="409" t="s">
        <v>2254</v>
      </c>
      <c r="E235" s="409" t="s">
        <v>973</v>
      </c>
      <c r="F235" s="409" t="s">
        <v>2261</v>
      </c>
      <c r="G235" s="409" t="s">
        <v>2262</v>
      </c>
      <c r="H235" s="409" t="s">
        <v>1323</v>
      </c>
      <c r="I235" s="409" t="s">
        <v>1323</v>
      </c>
      <c r="J235" s="409" t="s">
        <v>2245</v>
      </c>
      <c r="K235" s="835">
        <v>44531</v>
      </c>
      <c r="L235" s="409">
        <v>0</v>
      </c>
      <c r="M235" s="409">
        <v>0</v>
      </c>
      <c r="N235" s="409">
        <v>7.0979999999999999</v>
      </c>
      <c r="O235" s="409">
        <v>7.0979999999999999</v>
      </c>
      <c r="P235" s="409">
        <v>7.0979999999999999</v>
      </c>
      <c r="Q235" s="409">
        <v>7.0979999999999999</v>
      </c>
      <c r="R235" s="409"/>
      <c r="S235" s="409">
        <v>597.01</v>
      </c>
      <c r="T235" s="409">
        <v>243.39</v>
      </c>
      <c r="U235" s="409"/>
      <c r="V235" s="409">
        <v>5965.1592000000001</v>
      </c>
      <c r="W235" s="409">
        <v>5965.1592000000001</v>
      </c>
      <c r="X235" s="409">
        <v>5403.5654400000003</v>
      </c>
      <c r="Y235" s="409">
        <v>0</v>
      </c>
      <c r="Z235" s="409">
        <v>176.62292304797256</v>
      </c>
      <c r="AA235" s="409">
        <v>0</v>
      </c>
      <c r="AB235" s="409">
        <v>0</v>
      </c>
      <c r="AC235" s="409">
        <v>0</v>
      </c>
      <c r="AD235" s="409">
        <v>831.80798769831779</v>
      </c>
      <c r="AE235" s="409">
        <v>2910.4534487667233</v>
      </c>
      <c r="AF235" s="409">
        <v>1727.5626635993292</v>
      </c>
      <c r="AG235" s="409">
        <v>0</v>
      </c>
      <c r="AH235" s="409">
        <v>0</v>
      </c>
      <c r="AI235" s="409">
        <v>0</v>
      </c>
      <c r="AJ235" s="409">
        <v>0</v>
      </c>
      <c r="AK235" s="409">
        <v>0</v>
      </c>
      <c r="AL235" s="409">
        <v>72.109226678781468</v>
      </c>
      <c r="AM235" s="409"/>
      <c r="AN235" s="409">
        <v>12.186353340275804</v>
      </c>
      <c r="AO235" s="409">
        <v>0</v>
      </c>
      <c r="AP235" s="409">
        <v>0</v>
      </c>
      <c r="AQ235" s="409">
        <v>0</v>
      </c>
      <c r="AR235" s="409">
        <v>0</v>
      </c>
      <c r="AS235" s="409">
        <v>0</v>
      </c>
      <c r="AT235" s="409">
        <v>0</v>
      </c>
      <c r="AU235" s="409">
        <v>0</v>
      </c>
      <c r="AV235" s="409">
        <v>0</v>
      </c>
      <c r="AW235" s="409">
        <v>0</v>
      </c>
      <c r="AX235" s="409">
        <v>0</v>
      </c>
      <c r="AY235" s="409">
        <v>0</v>
      </c>
      <c r="AZ235" s="409">
        <v>0</v>
      </c>
      <c r="BA235" s="409"/>
      <c r="BB235" s="409">
        <v>0</v>
      </c>
      <c r="BC235" s="409">
        <v>0</v>
      </c>
      <c r="BD235" s="409">
        <v>0</v>
      </c>
      <c r="BE235" s="409">
        <v>0</v>
      </c>
      <c r="BF235" s="409">
        <v>0</v>
      </c>
      <c r="BG235" s="409">
        <v>234.371199642183</v>
      </c>
      <c r="BH235" s="409">
        <v>0</v>
      </c>
      <c r="BI235" s="409">
        <v>0</v>
      </c>
      <c r="BJ235" s="409">
        <v>0</v>
      </c>
      <c r="BK235" s="409">
        <v>0</v>
      </c>
      <c r="BL235" s="409">
        <v>0</v>
      </c>
      <c r="BM235" s="409"/>
      <c r="BN235" s="409"/>
      <c r="BO235" s="409"/>
      <c r="BP235" s="409"/>
      <c r="BQ235" s="409"/>
      <c r="BR235" s="409">
        <v>648.47327999999993</v>
      </c>
      <c r="BS235" s="409"/>
      <c r="BT235" s="409"/>
      <c r="BU235" s="409"/>
      <c r="BV235" s="409">
        <v>1961.9338632415122</v>
      </c>
      <c r="BW235" s="409"/>
      <c r="BX235" s="409"/>
      <c r="BY235" s="409"/>
      <c r="BZ235" s="409"/>
      <c r="CA235" s="409"/>
      <c r="CB235" s="409"/>
      <c r="CC235" s="409"/>
      <c r="CD235" s="409"/>
      <c r="CE235" s="409"/>
      <c r="CF235" s="409"/>
      <c r="CG235" s="409"/>
      <c r="CH235" s="409"/>
      <c r="CI235" s="409">
        <v>4756.4319999999998</v>
      </c>
      <c r="CJ235" s="409">
        <v>-492.92390000000069</v>
      </c>
      <c r="CK235" s="409"/>
      <c r="CL235" s="409"/>
      <c r="CM235" s="409"/>
      <c r="CN235" s="409"/>
      <c r="CO235" s="409">
        <v>-621.64283999999986</v>
      </c>
      <c r="CP235" s="409">
        <v>60.049080000000053</v>
      </c>
      <c r="CQ235" s="409"/>
      <c r="CR235" s="409">
        <v>105.57439573103147</v>
      </c>
      <c r="CS235" s="409">
        <v>0</v>
      </c>
      <c r="CT235" s="409">
        <v>0</v>
      </c>
      <c r="CU235" s="409">
        <v>0</v>
      </c>
      <c r="CV235" s="409">
        <v>0</v>
      </c>
      <c r="CW235" s="409">
        <v>0</v>
      </c>
      <c r="CX235" s="409">
        <v>0</v>
      </c>
      <c r="CY235" s="409">
        <v>0</v>
      </c>
      <c r="CZ235" s="409">
        <v>31.184995714289016</v>
      </c>
      <c r="DA235" s="409">
        <v>0</v>
      </c>
      <c r="DB235" s="409">
        <v>0</v>
      </c>
      <c r="DC235" s="409">
        <v>79.139484528787989</v>
      </c>
      <c r="DD235" s="409">
        <v>0</v>
      </c>
      <c r="DE235" s="409">
        <v>0</v>
      </c>
      <c r="DF235" s="409">
        <v>0</v>
      </c>
      <c r="DG235" s="409">
        <v>10.736522801106958</v>
      </c>
      <c r="DH235" s="409">
        <v>0</v>
      </c>
      <c r="DI235" s="409">
        <v>-1.2880899105487629</v>
      </c>
      <c r="DJ235" s="409"/>
      <c r="DK235" s="409">
        <v>0</v>
      </c>
      <c r="DL235" s="409">
        <v>0</v>
      </c>
      <c r="DM235" s="409">
        <v>0</v>
      </c>
      <c r="DN235" s="409">
        <v>0</v>
      </c>
      <c r="DO235" s="409">
        <v>-0.40445720685529807</v>
      </c>
      <c r="DP235" s="409">
        <v>-0.71781698506309866</v>
      </c>
      <c r="DQ235" s="409">
        <v>0</v>
      </c>
      <c r="DR235" s="409">
        <v>-13.076243210685199</v>
      </c>
      <c r="DS235" s="409"/>
      <c r="DT235" s="409"/>
      <c r="DU235" s="409"/>
      <c r="DV235" s="409">
        <v>2910.4534487667233</v>
      </c>
      <c r="DW235" s="409">
        <v>0</v>
      </c>
      <c r="DX235" s="409">
        <v>0</v>
      </c>
      <c r="DY235" s="409">
        <v>-621.64283999999998</v>
      </c>
      <c r="DZ235" s="409">
        <v>60.049080000000231</v>
      </c>
      <c r="EA235" s="409">
        <v>0</v>
      </c>
      <c r="EB235" s="409">
        <v>0</v>
      </c>
      <c r="EC235" s="409">
        <v>-667.14436814143482</v>
      </c>
      <c r="ED235" s="409">
        <v>0</v>
      </c>
      <c r="EE235" s="409">
        <v>0</v>
      </c>
      <c r="EF235" s="409">
        <v>0</v>
      </c>
      <c r="EG235" s="409">
        <v>0</v>
      </c>
      <c r="EH235" s="409">
        <v>0</v>
      </c>
      <c r="EI235" s="409">
        <v>0</v>
      </c>
      <c r="EJ235" s="409">
        <v>0</v>
      </c>
      <c r="EK235" s="409">
        <v>0</v>
      </c>
      <c r="EL235" s="409">
        <v>0</v>
      </c>
      <c r="EM235" s="409">
        <v>0</v>
      </c>
      <c r="EN235" s="409">
        <v>0</v>
      </c>
      <c r="EO235" s="409">
        <v>0</v>
      </c>
      <c r="EP235" s="409">
        <v>0</v>
      </c>
      <c r="EQ235" s="409">
        <v>0</v>
      </c>
      <c r="ER235" s="409">
        <v>0</v>
      </c>
      <c r="ES235" s="409">
        <v>0</v>
      </c>
      <c r="ET235" s="409">
        <v>0</v>
      </c>
      <c r="EU235" s="409">
        <v>0</v>
      </c>
      <c r="EV235" s="409">
        <v>254</v>
      </c>
      <c r="EW235" s="409">
        <v>0</v>
      </c>
      <c r="EX235" s="409">
        <v>0</v>
      </c>
      <c r="EY235" s="409">
        <v>0</v>
      </c>
      <c r="EZ235" s="409"/>
      <c r="FA235" s="409">
        <v>0</v>
      </c>
      <c r="FB235" s="409"/>
      <c r="FC235" s="409"/>
      <c r="FD235" s="409"/>
      <c r="FE235" s="409"/>
      <c r="FF235" s="409">
        <v>0</v>
      </c>
      <c r="FG235" s="409">
        <v>0</v>
      </c>
      <c r="FH235" s="409">
        <v>0</v>
      </c>
      <c r="FI235" s="409">
        <v>0</v>
      </c>
    </row>
    <row r="236" spans="1:165">
      <c r="A236" s="409">
        <v>234</v>
      </c>
      <c r="B236" s="409" t="s">
        <v>1035</v>
      </c>
      <c r="C236" s="409" t="s">
        <v>2244</v>
      </c>
      <c r="D236" s="409" t="s">
        <v>2254</v>
      </c>
      <c r="E236" s="409" t="s">
        <v>973</v>
      </c>
      <c r="F236" s="409" t="s">
        <v>2261</v>
      </c>
      <c r="G236" s="409" t="s">
        <v>2263</v>
      </c>
      <c r="H236" s="409" t="s">
        <v>1323</v>
      </c>
      <c r="I236" s="409" t="s">
        <v>1323</v>
      </c>
      <c r="J236" s="409" t="s">
        <v>2245</v>
      </c>
      <c r="K236" s="835">
        <v>44531</v>
      </c>
      <c r="L236" s="409">
        <v>0</v>
      </c>
      <c r="M236" s="409">
        <v>0</v>
      </c>
      <c r="N236" s="409">
        <v>5.9320000000000004</v>
      </c>
      <c r="O236" s="409">
        <v>1.60164</v>
      </c>
      <c r="P236" s="409">
        <v>5.9320000000000004</v>
      </c>
      <c r="Q236" s="409">
        <v>1.60164</v>
      </c>
      <c r="R236" s="409"/>
      <c r="S236" s="409">
        <v>597.01</v>
      </c>
      <c r="T236" s="409">
        <v>243.39</v>
      </c>
      <c r="U236" s="409"/>
      <c r="V236" s="409">
        <v>4985.2528000000002</v>
      </c>
      <c r="W236" s="409">
        <v>4985.2528000000002</v>
      </c>
      <c r="X236" s="409">
        <v>4515.9129600000006</v>
      </c>
      <c r="Y236" s="409">
        <v>0</v>
      </c>
      <c r="Z236" s="409">
        <v>147.60878832355218</v>
      </c>
      <c r="AA236" s="409">
        <v>0</v>
      </c>
      <c r="AB236" s="409">
        <v>0</v>
      </c>
      <c r="AC236" s="409">
        <v>0</v>
      </c>
      <c r="AD236" s="409">
        <v>695.16553719729802</v>
      </c>
      <c r="AE236" s="409">
        <v>2432.3485288932379</v>
      </c>
      <c r="AF236" s="409">
        <v>1443.7731361610624</v>
      </c>
      <c r="AG236" s="409">
        <v>0</v>
      </c>
      <c r="AH236" s="409">
        <v>0</v>
      </c>
      <c r="AI236" s="409">
        <v>0</v>
      </c>
      <c r="AJ236" s="409">
        <v>0</v>
      </c>
      <c r="AK236" s="409">
        <v>0</v>
      </c>
      <c r="AL236" s="409">
        <v>60.263726776349912</v>
      </c>
      <c r="AM236" s="409"/>
      <c r="AN236" s="409">
        <v>10.184481264372511</v>
      </c>
      <c r="AO236" s="409">
        <v>0</v>
      </c>
      <c r="AP236" s="409">
        <v>0</v>
      </c>
      <c r="AQ236" s="409">
        <v>0</v>
      </c>
      <c r="AR236" s="409">
        <v>0</v>
      </c>
      <c r="AS236" s="409">
        <v>0</v>
      </c>
      <c r="AT236" s="409">
        <v>0</v>
      </c>
      <c r="AU236" s="409">
        <v>0</v>
      </c>
      <c r="AV236" s="409">
        <v>0</v>
      </c>
      <c r="AW236" s="409">
        <v>0</v>
      </c>
      <c r="AX236" s="409">
        <v>0</v>
      </c>
      <c r="AY236" s="409">
        <v>0</v>
      </c>
      <c r="AZ236" s="409">
        <v>0</v>
      </c>
      <c r="BA236" s="409"/>
      <c r="BB236" s="409">
        <v>0</v>
      </c>
      <c r="BC236" s="409">
        <v>0</v>
      </c>
      <c r="BD236" s="409">
        <v>0</v>
      </c>
      <c r="BE236" s="409">
        <v>0</v>
      </c>
      <c r="BF236" s="409">
        <v>0</v>
      </c>
      <c r="BG236" s="409">
        <v>195.87066163390105</v>
      </c>
      <c r="BH236" s="409">
        <v>0</v>
      </c>
      <c r="BI236" s="409">
        <v>0</v>
      </c>
      <c r="BJ236" s="409">
        <v>0</v>
      </c>
      <c r="BK236" s="409">
        <v>0</v>
      </c>
      <c r="BL236" s="409">
        <v>0</v>
      </c>
      <c r="BM236" s="409"/>
      <c r="BN236" s="409"/>
      <c r="BO236" s="409"/>
      <c r="BP236" s="409"/>
      <c r="BQ236" s="409"/>
      <c r="BR236" s="409"/>
      <c r="BS236" s="409">
        <v>3442.9422912</v>
      </c>
      <c r="BT236" s="409"/>
      <c r="BU236" s="409"/>
      <c r="BV236" s="409">
        <v>1639.6437977949636</v>
      </c>
      <c r="BW236" s="409"/>
      <c r="BX236" s="409"/>
      <c r="BY236" s="409"/>
      <c r="BZ236" s="409"/>
      <c r="CA236" s="409"/>
      <c r="CB236" s="409"/>
      <c r="CC236" s="409"/>
      <c r="CD236" s="409"/>
      <c r="CE236" s="409"/>
      <c r="CF236" s="409"/>
      <c r="CG236" s="409"/>
      <c r="CH236" s="409"/>
      <c r="CI236" s="409">
        <v>1071.8720000000001</v>
      </c>
      <c r="CJ236" s="409">
        <v>-112.65086199999996</v>
      </c>
      <c r="CK236" s="409"/>
      <c r="CL236" s="409"/>
      <c r="CM236" s="409"/>
      <c r="CN236" s="409"/>
      <c r="CO236" s="409">
        <v>-519.52455999999995</v>
      </c>
      <c r="CP236" s="409">
        <v>50.184720000000048</v>
      </c>
      <c r="CQ236" s="409"/>
      <c r="CR236" s="409">
        <v>88.231518100377798</v>
      </c>
      <c r="CS236" s="409">
        <v>0</v>
      </c>
      <c r="CT236" s="409">
        <v>0</v>
      </c>
      <c r="CU236" s="409">
        <v>0</v>
      </c>
      <c r="CV236" s="409">
        <v>0</v>
      </c>
      <c r="CW236" s="409">
        <v>0</v>
      </c>
      <c r="CX236" s="409">
        <v>0</v>
      </c>
      <c r="CY236" s="409">
        <v>0</v>
      </c>
      <c r="CZ236" s="409">
        <v>26.062185767422193</v>
      </c>
      <c r="DA236" s="409">
        <v>0</v>
      </c>
      <c r="DB236" s="409">
        <v>0</v>
      </c>
      <c r="DC236" s="409">
        <v>66.139112739471784</v>
      </c>
      <c r="DD236" s="409">
        <v>0</v>
      </c>
      <c r="DE236" s="409">
        <v>0</v>
      </c>
      <c r="DF236" s="409">
        <v>0</v>
      </c>
      <c r="DG236" s="409">
        <v>8.972816745022044</v>
      </c>
      <c r="DH236" s="409">
        <v>0</v>
      </c>
      <c r="DI236" s="409">
        <v>-1.0764932867533332</v>
      </c>
      <c r="DJ236" s="409"/>
      <c r="DK236" s="409">
        <v>0</v>
      </c>
      <c r="DL236" s="409">
        <v>0</v>
      </c>
      <c r="DM236" s="409">
        <v>0</v>
      </c>
      <c r="DN236" s="409">
        <v>0</v>
      </c>
      <c r="DO236" s="409">
        <v>-0.33801636391456924</v>
      </c>
      <c r="DP236" s="409">
        <v>-0.59990002189269021</v>
      </c>
      <c r="DQ236" s="409">
        <v>0</v>
      </c>
      <c r="DR236" s="409">
        <v>-10.928187478977826</v>
      </c>
      <c r="DS236" s="409"/>
      <c r="DT236" s="409"/>
      <c r="DU236" s="409"/>
      <c r="DV236" s="409">
        <v>2432.3485288932379</v>
      </c>
      <c r="DW236" s="409">
        <v>0</v>
      </c>
      <c r="DX236" s="409">
        <v>0</v>
      </c>
      <c r="DY236" s="409">
        <v>-519.52455999999984</v>
      </c>
      <c r="DZ236" s="409">
        <v>50.184720000000198</v>
      </c>
      <c r="EA236" s="409">
        <v>0</v>
      </c>
      <c r="EB236" s="409">
        <v>0</v>
      </c>
      <c r="EC236" s="409">
        <v>-557.55147813679764</v>
      </c>
      <c r="ED236" s="409">
        <v>0</v>
      </c>
      <c r="EE236" s="409">
        <v>0</v>
      </c>
      <c r="EF236" s="409">
        <v>0</v>
      </c>
      <c r="EG236" s="409">
        <v>0</v>
      </c>
      <c r="EH236" s="409">
        <v>0</v>
      </c>
      <c r="EI236" s="409">
        <v>0</v>
      </c>
      <c r="EJ236" s="409">
        <v>0</v>
      </c>
      <c r="EK236" s="409">
        <v>0</v>
      </c>
      <c r="EL236" s="409">
        <v>0</v>
      </c>
      <c r="EM236" s="409">
        <v>0</v>
      </c>
      <c r="EN236" s="409">
        <v>0</v>
      </c>
      <c r="EO236" s="409">
        <v>0</v>
      </c>
      <c r="EP236" s="409">
        <v>0</v>
      </c>
      <c r="EQ236" s="409">
        <v>0</v>
      </c>
      <c r="ER236" s="409">
        <v>0</v>
      </c>
      <c r="ES236" s="409">
        <v>0</v>
      </c>
      <c r="ET236" s="409">
        <v>0</v>
      </c>
      <c r="EU236" s="409">
        <v>0</v>
      </c>
      <c r="EV236" s="409">
        <v>254</v>
      </c>
      <c r="EW236" s="409">
        <v>0</v>
      </c>
      <c r="EX236" s="409">
        <v>0</v>
      </c>
      <c r="EY236" s="409">
        <v>0</v>
      </c>
      <c r="EZ236" s="409"/>
      <c r="FA236" s="409">
        <v>0</v>
      </c>
      <c r="FB236" s="409"/>
      <c r="FC236" s="409"/>
      <c r="FD236" s="409"/>
      <c r="FE236" s="409"/>
      <c r="FF236" s="409">
        <v>0</v>
      </c>
      <c r="FG236" s="409">
        <v>0</v>
      </c>
      <c r="FH236" s="409">
        <v>0</v>
      </c>
      <c r="FI236" s="409">
        <v>0</v>
      </c>
    </row>
    <row r="237" spans="1:165">
      <c r="A237" s="409">
        <v>235</v>
      </c>
      <c r="B237" s="409" t="s">
        <v>1035</v>
      </c>
      <c r="C237" s="409" t="s">
        <v>2244</v>
      </c>
      <c r="D237" s="409" t="s">
        <v>1991</v>
      </c>
      <c r="E237" s="409" t="s">
        <v>968</v>
      </c>
      <c r="F237" s="409" t="s">
        <v>968</v>
      </c>
      <c r="G237" s="409" t="s">
        <v>1323</v>
      </c>
      <c r="H237" s="409" t="s">
        <v>1323</v>
      </c>
      <c r="I237" s="409" t="s">
        <v>1323</v>
      </c>
      <c r="J237" s="409" t="s">
        <v>2245</v>
      </c>
      <c r="K237" s="835">
        <v>44562</v>
      </c>
      <c r="L237" s="409">
        <v>0</v>
      </c>
      <c r="M237" s="409">
        <v>0</v>
      </c>
      <c r="N237" s="409">
        <v>217.96</v>
      </c>
      <c r="O237" s="409">
        <v>217.96</v>
      </c>
      <c r="P237" s="409">
        <v>217.96</v>
      </c>
      <c r="Q237" s="409">
        <v>217.96</v>
      </c>
      <c r="R237" s="409"/>
      <c r="S237" s="409">
        <v>597.01</v>
      </c>
      <c r="T237" s="409">
        <v>243.39</v>
      </c>
      <c r="U237" s="409"/>
      <c r="V237" s="409">
        <v>183173.584</v>
      </c>
      <c r="W237" s="409">
        <v>183173.584</v>
      </c>
      <c r="X237" s="409">
        <v>165928.5888</v>
      </c>
      <c r="Y237" s="409">
        <v>0</v>
      </c>
      <c r="Z237" s="409">
        <v>5423.602748314469</v>
      </c>
      <c r="AA237" s="409">
        <v>0</v>
      </c>
      <c r="AB237" s="409">
        <v>0</v>
      </c>
      <c r="AC237" s="409">
        <v>0</v>
      </c>
      <c r="AD237" s="409">
        <v>25542.5287403107</v>
      </c>
      <c r="AE237" s="409">
        <v>89371.996857311227</v>
      </c>
      <c r="AF237" s="409">
        <v>53048.683876882191</v>
      </c>
      <c r="AG237" s="409">
        <v>0</v>
      </c>
      <c r="AH237" s="409">
        <v>0</v>
      </c>
      <c r="AI237" s="409">
        <v>0</v>
      </c>
      <c r="AJ237" s="409">
        <v>0</v>
      </c>
      <c r="AK237" s="409">
        <v>0</v>
      </c>
      <c r="AL237" s="409">
        <v>2214.2754363070176</v>
      </c>
      <c r="AM237" s="409"/>
      <c r="AN237" s="409">
        <v>374.20929473746332</v>
      </c>
      <c r="AO237" s="409">
        <v>0</v>
      </c>
      <c r="AP237" s="409">
        <v>0</v>
      </c>
      <c r="AQ237" s="409">
        <v>0</v>
      </c>
      <c r="AR237" s="409">
        <v>0</v>
      </c>
      <c r="AS237" s="409">
        <v>0</v>
      </c>
      <c r="AT237" s="409">
        <v>0</v>
      </c>
      <c r="AU237" s="409">
        <v>0</v>
      </c>
      <c r="AV237" s="409">
        <v>0</v>
      </c>
      <c r="AW237" s="409">
        <v>0</v>
      </c>
      <c r="AX237" s="409">
        <v>0</v>
      </c>
      <c r="AY237" s="409">
        <v>0</v>
      </c>
      <c r="AZ237" s="409">
        <v>0</v>
      </c>
      <c r="BA237" s="409"/>
      <c r="BB237" s="409">
        <v>0</v>
      </c>
      <c r="BC237" s="409">
        <v>0</v>
      </c>
      <c r="BD237" s="409">
        <v>0</v>
      </c>
      <c r="BE237" s="409">
        <v>0</v>
      </c>
      <c r="BF237" s="409">
        <v>0</v>
      </c>
      <c r="BG237" s="409">
        <v>7196.8930225429995</v>
      </c>
      <c r="BH237" s="409">
        <v>0</v>
      </c>
      <c r="BI237" s="409">
        <v>49.54</v>
      </c>
      <c r="BJ237" s="409">
        <v>229.21</v>
      </c>
      <c r="BK237" s="409">
        <v>1724.48</v>
      </c>
      <c r="BL237" s="409">
        <v>1996</v>
      </c>
      <c r="BM237" s="409"/>
      <c r="BN237" s="409"/>
      <c r="BO237" s="409"/>
      <c r="BP237" s="409"/>
      <c r="BQ237" s="409"/>
      <c r="BR237" s="409"/>
      <c r="BS237" s="409"/>
      <c r="BT237" s="409"/>
      <c r="BU237" s="409"/>
      <c r="BV237" s="409">
        <v>60245.576899425192</v>
      </c>
      <c r="BW237" s="409"/>
      <c r="BX237" s="409"/>
      <c r="BY237" s="409"/>
      <c r="BZ237" s="409"/>
      <c r="CA237" s="409"/>
      <c r="CB237" s="409"/>
      <c r="CC237" s="409"/>
      <c r="CD237" s="409"/>
      <c r="CE237" s="409"/>
      <c r="CF237" s="409"/>
      <c r="CG237" s="409"/>
      <c r="CH237" s="409"/>
      <c r="CI237" s="409">
        <v>165928.5888</v>
      </c>
      <c r="CJ237" s="409">
        <v>-17245.025200000004</v>
      </c>
      <c r="CK237" s="409"/>
      <c r="CL237" s="409"/>
      <c r="CM237" s="409"/>
      <c r="CN237" s="409"/>
      <c r="CO237" s="409">
        <v>-19088.936799999996</v>
      </c>
      <c r="CP237" s="409">
        <v>1843.9416000000017</v>
      </c>
      <c r="CQ237" s="409">
        <v>31</v>
      </c>
      <c r="CR237" s="409">
        <v>3241.8984634454537</v>
      </c>
      <c r="CS237" s="409">
        <v>0</v>
      </c>
      <c r="CT237" s="409">
        <v>0</v>
      </c>
      <c r="CU237" s="409">
        <v>0</v>
      </c>
      <c r="CV237" s="409">
        <v>0</v>
      </c>
      <c r="CW237" s="409">
        <v>0</v>
      </c>
      <c r="CX237" s="409">
        <v>0</v>
      </c>
      <c r="CY237" s="409">
        <v>0</v>
      </c>
      <c r="CZ237" s="409">
        <v>957.6051938414239</v>
      </c>
      <c r="DA237" s="409">
        <v>0</v>
      </c>
      <c r="DB237" s="409">
        <v>0</v>
      </c>
      <c r="DC237" s="409">
        <v>2430.1552617490379</v>
      </c>
      <c r="DD237" s="409">
        <v>0</v>
      </c>
      <c r="DE237" s="409">
        <v>0</v>
      </c>
      <c r="DF237" s="409">
        <v>0</v>
      </c>
      <c r="DG237" s="409">
        <v>329.68899827124096</v>
      </c>
      <c r="DH237" s="409">
        <v>0</v>
      </c>
      <c r="DI237" s="409">
        <v>-39.553687926628299</v>
      </c>
      <c r="DJ237" s="409"/>
      <c r="DK237" s="409">
        <v>0</v>
      </c>
      <c r="DL237" s="409">
        <v>0</v>
      </c>
      <c r="DM237" s="409">
        <v>0</v>
      </c>
      <c r="DN237" s="409">
        <v>0</v>
      </c>
      <c r="DO237" s="409">
        <v>-12.419765117805582</v>
      </c>
      <c r="DP237" s="409">
        <v>-22.042179496245865</v>
      </c>
      <c r="DQ237" s="409">
        <v>0</v>
      </c>
      <c r="DR237" s="409">
        <v>-401.5353578755911</v>
      </c>
      <c r="DS237" s="409"/>
      <c r="DT237" s="409"/>
      <c r="DU237" s="409"/>
      <c r="DV237" s="409">
        <v>89371.996857311227</v>
      </c>
      <c r="DW237" s="409">
        <v>0</v>
      </c>
      <c r="DX237" s="409">
        <v>0</v>
      </c>
      <c r="DY237" s="409">
        <v>-19088.936799999996</v>
      </c>
      <c r="DZ237" s="409">
        <v>1843.9416000000056</v>
      </c>
      <c r="EA237" s="409">
        <v>0</v>
      </c>
      <c r="EB237" s="409">
        <v>0</v>
      </c>
      <c r="EC237" s="409">
        <v>-20486.16321218753</v>
      </c>
      <c r="ED237" s="409">
        <v>0</v>
      </c>
      <c r="EE237" s="409">
        <v>0</v>
      </c>
      <c r="EF237" s="409">
        <v>0</v>
      </c>
      <c r="EG237" s="409">
        <v>0</v>
      </c>
      <c r="EH237" s="409">
        <v>0</v>
      </c>
      <c r="EI237" s="409">
        <v>0</v>
      </c>
      <c r="EJ237" s="409">
        <v>0</v>
      </c>
      <c r="EK237" s="409">
        <v>0</v>
      </c>
      <c r="EL237" s="409">
        <v>0</v>
      </c>
      <c r="EM237" s="409">
        <v>0</v>
      </c>
      <c r="EN237" s="409">
        <v>0</v>
      </c>
      <c r="EO237" s="409">
        <v>0</v>
      </c>
      <c r="EP237" s="409">
        <v>0</v>
      </c>
      <c r="EQ237" s="409">
        <v>0</v>
      </c>
      <c r="ER237" s="409">
        <v>0</v>
      </c>
      <c r="ES237" s="409">
        <v>0</v>
      </c>
      <c r="ET237" s="409">
        <v>0</v>
      </c>
      <c r="EU237" s="409">
        <v>0</v>
      </c>
      <c r="EV237" s="409">
        <v>254</v>
      </c>
      <c r="EW237" s="409">
        <v>0</v>
      </c>
      <c r="EX237" s="409">
        <v>0</v>
      </c>
      <c r="EY237" s="409">
        <v>0</v>
      </c>
      <c r="EZ237" s="409"/>
      <c r="FA237" s="409">
        <v>0</v>
      </c>
      <c r="FB237" s="409"/>
      <c r="FC237" s="409"/>
      <c r="FD237" s="409"/>
      <c r="FE237" s="409"/>
      <c r="FF237" s="409">
        <v>0</v>
      </c>
      <c r="FG237" s="409">
        <v>0</v>
      </c>
      <c r="FH237" s="409">
        <v>0</v>
      </c>
      <c r="FI237" s="409">
        <v>0</v>
      </c>
    </row>
    <row r="238" spans="1:165">
      <c r="A238" s="409">
        <v>236</v>
      </c>
      <c r="B238" s="409" t="s">
        <v>2246</v>
      </c>
      <c r="C238" s="409" t="s">
        <v>2244</v>
      </c>
      <c r="D238" s="409" t="s">
        <v>1991</v>
      </c>
      <c r="E238" s="409" t="s">
        <v>968</v>
      </c>
      <c r="F238" s="409" t="s">
        <v>968</v>
      </c>
      <c r="G238" s="409" t="s">
        <v>1323</v>
      </c>
      <c r="H238" s="409" t="s">
        <v>1323</v>
      </c>
      <c r="I238" s="409" t="s">
        <v>1323</v>
      </c>
      <c r="J238" s="409" t="s">
        <v>2245</v>
      </c>
      <c r="K238" s="835">
        <v>44562</v>
      </c>
      <c r="L238" s="409">
        <v>0</v>
      </c>
      <c r="M238" s="409">
        <v>0</v>
      </c>
      <c r="N238" s="409">
        <v>3.6760000000000002</v>
      </c>
      <c r="O238" s="409">
        <v>3.6760000000000002</v>
      </c>
      <c r="P238" s="409">
        <v>3.6760000000000002</v>
      </c>
      <c r="Q238" s="409">
        <v>3.6760000000000002</v>
      </c>
      <c r="R238" s="409"/>
      <c r="S238" s="409">
        <v>597.01</v>
      </c>
      <c r="T238" s="409">
        <v>243.39</v>
      </c>
      <c r="U238" s="409"/>
      <c r="V238" s="409">
        <v>3089.3104000000003</v>
      </c>
      <c r="W238" s="409">
        <v>3089.3104000000003</v>
      </c>
      <c r="X238" s="409">
        <v>2798.4652800000003</v>
      </c>
      <c r="Y238" s="409">
        <v>0</v>
      </c>
      <c r="Z238" s="409">
        <v>91.471663162066378</v>
      </c>
      <c r="AA238" s="409">
        <v>0</v>
      </c>
      <c r="AB238" s="409">
        <v>0</v>
      </c>
      <c r="AC238" s="409">
        <v>0</v>
      </c>
      <c r="AD238" s="409">
        <v>430.78700518160275</v>
      </c>
      <c r="AE238" s="409">
        <v>1507.301617028244</v>
      </c>
      <c r="AF238" s="409">
        <v>894.69151188942442</v>
      </c>
      <c r="AG238" s="409">
        <v>0</v>
      </c>
      <c r="AH238" s="409">
        <v>0</v>
      </c>
      <c r="AI238" s="409">
        <v>0</v>
      </c>
      <c r="AJ238" s="409">
        <v>0</v>
      </c>
      <c r="AK238" s="409">
        <v>0</v>
      </c>
      <c r="AL238" s="409">
        <v>37.344817874218187</v>
      </c>
      <c r="AM238" s="409"/>
      <c r="AN238" s="409">
        <v>6.3112193404978676</v>
      </c>
      <c r="AO238" s="409">
        <v>0</v>
      </c>
      <c r="AP238" s="409">
        <v>0</v>
      </c>
      <c r="AQ238" s="409">
        <v>0</v>
      </c>
      <c r="AR238" s="409">
        <v>0</v>
      </c>
      <c r="AS238" s="409">
        <v>0</v>
      </c>
      <c r="AT238" s="409">
        <v>0</v>
      </c>
      <c r="AU238" s="409">
        <v>0</v>
      </c>
      <c r="AV238" s="409">
        <v>0</v>
      </c>
      <c r="AW238" s="409">
        <v>0</v>
      </c>
      <c r="AX238" s="409">
        <v>0</v>
      </c>
      <c r="AY238" s="409">
        <v>0</v>
      </c>
      <c r="AZ238" s="409">
        <v>0</v>
      </c>
      <c r="BA238" s="409"/>
      <c r="BB238" s="409">
        <v>0</v>
      </c>
      <c r="BC238" s="409">
        <v>0</v>
      </c>
      <c r="BD238" s="409">
        <v>0</v>
      </c>
      <c r="BE238" s="409">
        <v>0</v>
      </c>
      <c r="BF238" s="409">
        <v>0</v>
      </c>
      <c r="BG238" s="409">
        <v>121.37905464703645</v>
      </c>
      <c r="BH238" s="409">
        <v>0</v>
      </c>
      <c r="BI238" s="409">
        <v>0</v>
      </c>
      <c r="BJ238" s="409">
        <v>0</v>
      </c>
      <c r="BK238" s="409">
        <v>0</v>
      </c>
      <c r="BL238" s="409">
        <v>16</v>
      </c>
      <c r="BM238" s="409"/>
      <c r="BN238" s="409"/>
      <c r="BO238" s="409"/>
      <c r="BP238" s="409"/>
      <c r="BQ238" s="409"/>
      <c r="BR238" s="409"/>
      <c r="BS238" s="409"/>
      <c r="BT238" s="409"/>
      <c r="BU238" s="409"/>
      <c r="BV238" s="409">
        <v>1016.0705665364609</v>
      </c>
      <c r="BW238" s="409"/>
      <c r="BX238" s="409"/>
      <c r="BY238" s="409"/>
      <c r="BZ238" s="409"/>
      <c r="CA238" s="409"/>
      <c r="CB238" s="409"/>
      <c r="CC238" s="409"/>
      <c r="CD238" s="409"/>
      <c r="CE238" s="409"/>
      <c r="CF238" s="409"/>
      <c r="CG238" s="409"/>
      <c r="CH238" s="409"/>
      <c r="CI238" s="409">
        <v>2801.5104000000001</v>
      </c>
      <c r="CJ238" s="409">
        <v>-287.83000000000084</v>
      </c>
      <c r="CK238" s="409"/>
      <c r="CL238" s="409"/>
      <c r="CM238" s="409"/>
      <c r="CN238" s="409"/>
      <c r="CO238" s="409">
        <v>-321.94407999999993</v>
      </c>
      <c r="CP238" s="409">
        <v>31.09896000000003</v>
      </c>
      <c r="CQ238" s="409">
        <v>31</v>
      </c>
      <c r="CR238" s="409">
        <v>54.676173387893868</v>
      </c>
      <c r="CS238" s="409">
        <v>0</v>
      </c>
      <c r="CT238" s="409">
        <v>0</v>
      </c>
      <c r="CU238" s="409">
        <v>0</v>
      </c>
      <c r="CV238" s="409">
        <v>0</v>
      </c>
      <c r="CW238" s="409">
        <v>0</v>
      </c>
      <c r="CX238" s="409">
        <v>0</v>
      </c>
      <c r="CY238" s="409">
        <v>0</v>
      </c>
      <c r="CZ238" s="409">
        <v>16.150471153244041</v>
      </c>
      <c r="DA238" s="409">
        <v>0</v>
      </c>
      <c r="DB238" s="409">
        <v>0</v>
      </c>
      <c r="DC238" s="409">
        <v>40.985734732012475</v>
      </c>
      <c r="DD238" s="409">
        <v>0</v>
      </c>
      <c r="DE238" s="409">
        <v>0</v>
      </c>
      <c r="DF238" s="409">
        <v>0</v>
      </c>
      <c r="DG238" s="409">
        <v>5.5603631751013154</v>
      </c>
      <c r="DH238" s="409">
        <v>0</v>
      </c>
      <c r="DI238" s="409">
        <v>-0.66709192887816471</v>
      </c>
      <c r="DJ238" s="409"/>
      <c r="DK238" s="409">
        <v>0</v>
      </c>
      <c r="DL238" s="409">
        <v>0</v>
      </c>
      <c r="DM238" s="409">
        <v>0</v>
      </c>
      <c r="DN238" s="409">
        <v>0</v>
      </c>
      <c r="DO238" s="409">
        <v>-0.20946529901382149</v>
      </c>
      <c r="DP238" s="409">
        <v>-0.37175193534685214</v>
      </c>
      <c r="DQ238" s="409">
        <v>0</v>
      </c>
      <c r="DR238" s="409">
        <v>-6.7720865092249642</v>
      </c>
      <c r="DS238" s="409"/>
      <c r="DT238" s="409"/>
      <c r="DU238" s="409"/>
      <c r="DV238" s="409">
        <v>1507.301617028244</v>
      </c>
      <c r="DW238" s="409">
        <v>0</v>
      </c>
      <c r="DX238" s="409">
        <v>0</v>
      </c>
      <c r="DY238" s="409">
        <v>-321.94407999999999</v>
      </c>
      <c r="DZ238" s="409">
        <v>31.098960000000034</v>
      </c>
      <c r="EA238" s="409">
        <v>0</v>
      </c>
      <c r="EB238" s="409">
        <v>0</v>
      </c>
      <c r="EC238" s="409">
        <v>-345.50897397688277</v>
      </c>
      <c r="ED238" s="409">
        <v>0</v>
      </c>
      <c r="EE238" s="409">
        <v>0</v>
      </c>
      <c r="EF238" s="409">
        <v>0</v>
      </c>
      <c r="EG238" s="409">
        <v>0</v>
      </c>
      <c r="EH238" s="409">
        <v>0</v>
      </c>
      <c r="EI238" s="409">
        <v>0</v>
      </c>
      <c r="EJ238" s="409">
        <v>0</v>
      </c>
      <c r="EK238" s="409">
        <v>0</v>
      </c>
      <c r="EL238" s="409">
        <v>0</v>
      </c>
      <c r="EM238" s="409">
        <v>0</v>
      </c>
      <c r="EN238" s="409">
        <v>0</v>
      </c>
      <c r="EO238" s="409">
        <v>0</v>
      </c>
      <c r="EP238" s="409">
        <v>0</v>
      </c>
      <c r="EQ238" s="409">
        <v>0</v>
      </c>
      <c r="ER238" s="409">
        <v>0</v>
      </c>
      <c r="ES238" s="409">
        <v>0</v>
      </c>
      <c r="ET238" s="409">
        <v>0</v>
      </c>
      <c r="EU238" s="409">
        <v>0</v>
      </c>
      <c r="EV238" s="409">
        <v>254</v>
      </c>
      <c r="EW238" s="409">
        <v>0</v>
      </c>
      <c r="EX238" s="409">
        <v>0</v>
      </c>
      <c r="EY238" s="409">
        <v>0</v>
      </c>
      <c r="EZ238" s="409"/>
      <c r="FA238" s="409">
        <v>0</v>
      </c>
      <c r="FB238" s="409"/>
      <c r="FC238" s="409"/>
      <c r="FD238" s="409"/>
      <c r="FE238" s="409"/>
      <c r="FF238" s="409">
        <v>0</v>
      </c>
      <c r="FG238" s="409">
        <v>0</v>
      </c>
      <c r="FH238" s="409">
        <v>0</v>
      </c>
      <c r="FI238" s="409">
        <v>0</v>
      </c>
    </row>
    <row r="239" spans="1:165">
      <c r="A239" s="409">
        <v>237</v>
      </c>
      <c r="B239" s="409" t="s">
        <v>1035</v>
      </c>
      <c r="C239" s="409" t="s">
        <v>2244</v>
      </c>
      <c r="D239" s="409" t="s">
        <v>1991</v>
      </c>
      <c r="E239" s="409" t="s">
        <v>968</v>
      </c>
      <c r="F239" s="409" t="s">
        <v>2247</v>
      </c>
      <c r="G239" s="409" t="s">
        <v>1323</v>
      </c>
      <c r="H239" s="409" t="s">
        <v>1323</v>
      </c>
      <c r="I239" s="409" t="s">
        <v>1323</v>
      </c>
      <c r="J239" s="409" t="s">
        <v>2245</v>
      </c>
      <c r="K239" s="835">
        <v>44562</v>
      </c>
      <c r="L239" s="409">
        <v>0</v>
      </c>
      <c r="M239" s="409">
        <v>0</v>
      </c>
      <c r="N239" s="409">
        <v>64.92</v>
      </c>
      <c r="O239" s="409">
        <v>64.92</v>
      </c>
      <c r="P239" s="409">
        <v>64.92</v>
      </c>
      <c r="Q239" s="409">
        <v>64.92</v>
      </c>
      <c r="R239" s="409"/>
      <c r="S239" s="409">
        <v>561.96</v>
      </c>
      <c r="T239" s="409">
        <v>243.39</v>
      </c>
      <c r="U239" s="409"/>
      <c r="V239" s="409">
        <v>52283.322</v>
      </c>
      <c r="W239" s="409">
        <v>52283.322</v>
      </c>
      <c r="X239" s="409">
        <v>47159.186399999999</v>
      </c>
      <c r="Y239" s="409">
        <v>0</v>
      </c>
      <c r="Z239" s="409">
        <v>0</v>
      </c>
      <c r="AA239" s="409">
        <v>0</v>
      </c>
      <c r="AB239" s="409">
        <v>0</v>
      </c>
      <c r="AC239" s="409">
        <v>0</v>
      </c>
      <c r="AD239" s="409">
        <v>7607.9141393878263</v>
      </c>
      <c r="AE239" s="409">
        <v>26619.701027604351</v>
      </c>
      <c r="AF239" s="409">
        <v>15800.69993249767</v>
      </c>
      <c r="AG239" s="409">
        <v>0</v>
      </c>
      <c r="AH239" s="409">
        <v>0</v>
      </c>
      <c r="AI239" s="409">
        <v>0</v>
      </c>
      <c r="AJ239" s="409">
        <v>0</v>
      </c>
      <c r="AK239" s="409">
        <v>0</v>
      </c>
      <c r="AL239" s="409">
        <v>0</v>
      </c>
      <c r="AM239" s="409"/>
      <c r="AN239" s="409">
        <v>111.45929259660542</v>
      </c>
      <c r="AO239" s="409">
        <v>0</v>
      </c>
      <c r="AP239" s="409">
        <v>0</v>
      </c>
      <c r="AQ239" s="409">
        <v>0</v>
      </c>
      <c r="AR239" s="409">
        <v>0</v>
      </c>
      <c r="AS239" s="409">
        <v>0</v>
      </c>
      <c r="AT239" s="409">
        <v>0</v>
      </c>
      <c r="AU239" s="409">
        <v>0</v>
      </c>
      <c r="AV239" s="409">
        <v>0</v>
      </c>
      <c r="AW239" s="409">
        <v>0</v>
      </c>
      <c r="AX239" s="409">
        <v>0</v>
      </c>
      <c r="AY239" s="409">
        <v>0</v>
      </c>
      <c r="AZ239" s="409">
        <v>0</v>
      </c>
      <c r="BA239" s="409"/>
      <c r="BB239" s="409">
        <v>0</v>
      </c>
      <c r="BC239" s="409">
        <v>0</v>
      </c>
      <c r="BD239" s="409">
        <v>0</v>
      </c>
      <c r="BE239" s="409">
        <v>0</v>
      </c>
      <c r="BF239" s="409">
        <v>0</v>
      </c>
      <c r="BG239" s="409">
        <v>2143.614860632646</v>
      </c>
      <c r="BH239" s="409">
        <v>0</v>
      </c>
      <c r="BI239" s="409">
        <v>0</v>
      </c>
      <c r="BJ239" s="409">
        <v>0</v>
      </c>
      <c r="BK239" s="409">
        <v>0</v>
      </c>
      <c r="BL239" s="409">
        <v>142</v>
      </c>
      <c r="BM239" s="409"/>
      <c r="BN239" s="409"/>
      <c r="BO239" s="409"/>
      <c r="BP239" s="409"/>
      <c r="BQ239" s="409"/>
      <c r="BR239" s="409"/>
      <c r="BS239" s="409"/>
      <c r="BT239" s="409">
        <v>30653.276400000002</v>
      </c>
      <c r="BU239" s="409"/>
      <c r="BV239" s="409">
        <v>17944.314793130317</v>
      </c>
      <c r="BW239" s="409"/>
      <c r="BX239" s="409"/>
      <c r="BY239" s="409"/>
      <c r="BZ239" s="409"/>
      <c r="CA239" s="409"/>
      <c r="CB239" s="409"/>
      <c r="CC239" s="409"/>
      <c r="CD239" s="409"/>
      <c r="CE239" s="409"/>
      <c r="CF239" s="409"/>
      <c r="CG239" s="409"/>
      <c r="CH239" s="409"/>
      <c r="CI239" s="409">
        <v>16505.91</v>
      </c>
      <c r="CJ239" s="409">
        <v>-1793.7695999999996</v>
      </c>
      <c r="CK239" s="409"/>
      <c r="CL239" s="409"/>
      <c r="CM239" s="409"/>
      <c r="CN239" s="409"/>
      <c r="CO239" s="409">
        <v>-5673.3588000000027</v>
      </c>
      <c r="CP239" s="409">
        <v>549.22320000000047</v>
      </c>
      <c r="CQ239" s="409">
        <v>31</v>
      </c>
      <c r="CR239" s="409">
        <v>977.87735500897907</v>
      </c>
      <c r="CS239" s="409">
        <v>0</v>
      </c>
      <c r="CT239" s="409">
        <v>0</v>
      </c>
      <c r="CU239" s="409">
        <v>0</v>
      </c>
      <c r="CV239" s="409">
        <v>0</v>
      </c>
      <c r="CW239" s="409">
        <v>0</v>
      </c>
      <c r="CX239" s="409">
        <v>0</v>
      </c>
      <c r="CY239" s="409">
        <v>0</v>
      </c>
      <c r="CZ239" s="409">
        <v>285.2254045888476</v>
      </c>
      <c r="DA239" s="409">
        <v>0</v>
      </c>
      <c r="DB239" s="409">
        <v>0</v>
      </c>
      <c r="DC239" s="409">
        <v>723.8285905337998</v>
      </c>
      <c r="DD239" s="409">
        <v>0</v>
      </c>
      <c r="DE239" s="409">
        <v>0</v>
      </c>
      <c r="DF239" s="409">
        <v>0</v>
      </c>
      <c r="DG239" s="409">
        <v>98.198796879101792</v>
      </c>
      <c r="DH239" s="409">
        <v>0</v>
      </c>
      <c r="DI239" s="409">
        <v>0</v>
      </c>
      <c r="DJ239" s="409"/>
      <c r="DK239" s="409">
        <v>0</v>
      </c>
      <c r="DL239" s="409">
        <v>0</v>
      </c>
      <c r="DM239" s="409">
        <v>0</v>
      </c>
      <c r="DN239" s="409">
        <v>0</v>
      </c>
      <c r="DO239" s="409">
        <v>0</v>
      </c>
      <c r="DP239" s="409">
        <v>-6.565325256452013</v>
      </c>
      <c r="DQ239" s="409">
        <v>0</v>
      </c>
      <c r="DR239" s="409">
        <v>-122.81011173631614</v>
      </c>
      <c r="DS239" s="409"/>
      <c r="DT239" s="409"/>
      <c r="DU239" s="409"/>
      <c r="DV239" s="409">
        <v>26619.701027604351</v>
      </c>
      <c r="DW239" s="409">
        <v>0</v>
      </c>
      <c r="DX239" s="409">
        <v>0</v>
      </c>
      <c r="DY239" s="409">
        <v>-5673.3588000000018</v>
      </c>
      <c r="DZ239" s="409">
        <v>549.22320000000036</v>
      </c>
      <c r="EA239" s="409">
        <v>0</v>
      </c>
      <c r="EB239" s="409">
        <v>0</v>
      </c>
      <c r="EC239" s="409">
        <v>-6101.8614228996812</v>
      </c>
      <c r="ED239" s="409">
        <v>0</v>
      </c>
      <c r="EE239" s="409">
        <v>0</v>
      </c>
      <c r="EF239" s="409">
        <v>0</v>
      </c>
      <c r="EG239" s="409">
        <v>0</v>
      </c>
      <c r="EH239" s="409">
        <v>0</v>
      </c>
      <c r="EI239" s="409">
        <v>0</v>
      </c>
      <c r="EJ239" s="409">
        <v>0</v>
      </c>
      <c r="EK239" s="409">
        <v>0</v>
      </c>
      <c r="EL239" s="409">
        <v>0</v>
      </c>
      <c r="EM239" s="409">
        <v>0</v>
      </c>
      <c r="EN239" s="409">
        <v>0</v>
      </c>
      <c r="EO239" s="409">
        <v>0</v>
      </c>
      <c r="EP239" s="409">
        <v>0</v>
      </c>
      <c r="EQ239" s="409">
        <v>0</v>
      </c>
      <c r="ER239" s="409">
        <v>0</v>
      </c>
      <c r="ES239" s="409">
        <v>0</v>
      </c>
      <c r="ET239" s="409">
        <v>0</v>
      </c>
      <c r="EU239" s="409">
        <v>0</v>
      </c>
      <c r="EV239" s="409">
        <v>254</v>
      </c>
      <c r="EW239" s="409">
        <v>0</v>
      </c>
      <c r="EX239" s="409">
        <v>0</v>
      </c>
      <c r="EY239" s="409">
        <v>0</v>
      </c>
      <c r="EZ239" s="409"/>
      <c r="FA239" s="409">
        <v>0</v>
      </c>
      <c r="FB239" s="409"/>
      <c r="FC239" s="409"/>
      <c r="FD239" s="409"/>
      <c r="FE239" s="409"/>
      <c r="FF239" s="409">
        <v>0</v>
      </c>
      <c r="FG239" s="409">
        <v>0</v>
      </c>
      <c r="FH239" s="409">
        <v>0</v>
      </c>
      <c r="FI239" s="409">
        <v>0</v>
      </c>
    </row>
    <row r="240" spans="1:165">
      <c r="A240" s="409">
        <v>238</v>
      </c>
      <c r="B240" s="409" t="s">
        <v>1035</v>
      </c>
      <c r="C240" s="409" t="s">
        <v>2244</v>
      </c>
      <c r="D240" s="409" t="s">
        <v>1991</v>
      </c>
      <c r="E240" s="409" t="s">
        <v>968</v>
      </c>
      <c r="F240" s="409" t="s">
        <v>2248</v>
      </c>
      <c r="G240" s="409" t="s">
        <v>1323</v>
      </c>
      <c r="H240" s="409" t="s">
        <v>1323</v>
      </c>
      <c r="I240" s="409" t="s">
        <v>1323</v>
      </c>
      <c r="J240" s="409" t="s">
        <v>2245</v>
      </c>
      <c r="K240" s="835">
        <v>44562</v>
      </c>
      <c r="L240" s="409">
        <v>0</v>
      </c>
      <c r="M240" s="409">
        <v>0</v>
      </c>
      <c r="N240" s="409">
        <v>102.47799999999999</v>
      </c>
      <c r="O240" s="409">
        <v>102.47799999999999</v>
      </c>
      <c r="P240" s="409">
        <v>102.47799999999999</v>
      </c>
      <c r="Q240" s="409">
        <v>102.47799999999999</v>
      </c>
      <c r="R240" s="409"/>
      <c r="S240" s="409">
        <v>561.96</v>
      </c>
      <c r="T240" s="409">
        <v>243.39</v>
      </c>
      <c r="U240" s="409"/>
      <c r="V240" s="409">
        <v>82530.657299999992</v>
      </c>
      <c r="W240" s="409">
        <v>82530.657299999992</v>
      </c>
      <c r="X240" s="409">
        <v>74442.068759999995</v>
      </c>
      <c r="Y240" s="409">
        <v>0</v>
      </c>
      <c r="Z240" s="409">
        <v>0</v>
      </c>
      <c r="AA240" s="409">
        <v>0</v>
      </c>
      <c r="AB240" s="409">
        <v>0</v>
      </c>
      <c r="AC240" s="409">
        <v>0</v>
      </c>
      <c r="AD240" s="409">
        <v>12009.301065560468</v>
      </c>
      <c r="AE240" s="409">
        <v>42019.92794064754</v>
      </c>
      <c r="AF240" s="409">
        <v>24941.838072743314</v>
      </c>
      <c r="AG240" s="409">
        <v>0</v>
      </c>
      <c r="AH240" s="409">
        <v>0</v>
      </c>
      <c r="AI240" s="409">
        <v>0</v>
      </c>
      <c r="AJ240" s="409">
        <v>0</v>
      </c>
      <c r="AK240" s="409">
        <v>0</v>
      </c>
      <c r="AL240" s="409">
        <v>0</v>
      </c>
      <c r="AM240" s="409"/>
      <c r="AN240" s="409">
        <v>175.94154939486953</v>
      </c>
      <c r="AO240" s="409">
        <v>0</v>
      </c>
      <c r="AP240" s="409">
        <v>0</v>
      </c>
      <c r="AQ240" s="409">
        <v>0</v>
      </c>
      <c r="AR240" s="409">
        <v>0</v>
      </c>
      <c r="AS240" s="409">
        <v>0</v>
      </c>
      <c r="AT240" s="409">
        <v>0</v>
      </c>
      <c r="AU240" s="409">
        <v>0</v>
      </c>
      <c r="AV240" s="409">
        <v>0</v>
      </c>
      <c r="AW240" s="409">
        <v>0</v>
      </c>
      <c r="AX240" s="409">
        <v>0</v>
      </c>
      <c r="AY240" s="409">
        <v>0</v>
      </c>
      <c r="AZ240" s="409">
        <v>0</v>
      </c>
      <c r="BA240" s="409"/>
      <c r="BB240" s="409">
        <v>0</v>
      </c>
      <c r="BC240" s="409">
        <v>0</v>
      </c>
      <c r="BD240" s="409">
        <v>0</v>
      </c>
      <c r="BE240" s="409">
        <v>0</v>
      </c>
      <c r="BF240" s="409">
        <v>0</v>
      </c>
      <c r="BG240" s="409">
        <v>3383.7548319148532</v>
      </c>
      <c r="BH240" s="409">
        <v>0</v>
      </c>
      <c r="BI240" s="409">
        <v>0</v>
      </c>
      <c r="BJ240" s="409">
        <v>0</v>
      </c>
      <c r="BK240" s="409">
        <v>0</v>
      </c>
      <c r="BL240" s="409">
        <v>1244</v>
      </c>
      <c r="BM240" s="409"/>
      <c r="BN240" s="409"/>
      <c r="BO240" s="409"/>
      <c r="BP240" s="409"/>
      <c r="BQ240" s="409"/>
      <c r="BR240" s="409"/>
      <c r="BS240" s="409"/>
      <c r="BT240" s="409">
        <v>29777.032459999995</v>
      </c>
      <c r="BU240" s="409"/>
      <c r="BV240" s="409">
        <v>28325.592904658166</v>
      </c>
      <c r="BW240" s="409"/>
      <c r="BX240" s="409"/>
      <c r="BY240" s="409"/>
      <c r="BZ240" s="409"/>
      <c r="CA240" s="409"/>
      <c r="CB240" s="409"/>
      <c r="CC240" s="409"/>
      <c r="CD240" s="409"/>
      <c r="CE240" s="409"/>
      <c r="CF240" s="409"/>
      <c r="CG240" s="409"/>
      <c r="CH240" s="409"/>
      <c r="CI240" s="409">
        <v>44665.908000000003</v>
      </c>
      <c r="CJ240" s="409">
        <v>-4852.5163800000009</v>
      </c>
      <c r="CK240" s="409"/>
      <c r="CL240" s="409"/>
      <c r="CM240" s="409"/>
      <c r="CN240" s="409"/>
      <c r="CO240" s="409">
        <v>-8955.5524200000036</v>
      </c>
      <c r="CP240" s="409">
        <v>866.96388000000081</v>
      </c>
      <c r="CQ240" s="409">
        <v>31</v>
      </c>
      <c r="CR240" s="409">
        <v>1543.6062166760748</v>
      </c>
      <c r="CS240" s="409">
        <v>0</v>
      </c>
      <c r="CT240" s="409">
        <v>0</v>
      </c>
      <c r="CU240" s="409">
        <v>0</v>
      </c>
      <c r="CV240" s="409">
        <v>0</v>
      </c>
      <c r="CW240" s="409">
        <v>0</v>
      </c>
      <c r="CX240" s="409">
        <v>0</v>
      </c>
      <c r="CY240" s="409">
        <v>0</v>
      </c>
      <c r="CZ240" s="409">
        <v>450.2361215566234</v>
      </c>
      <c r="DA240" s="409">
        <v>0</v>
      </c>
      <c r="DB240" s="409">
        <v>0</v>
      </c>
      <c r="DC240" s="409">
        <v>1142.5832763512444</v>
      </c>
      <c r="DD240" s="409">
        <v>0</v>
      </c>
      <c r="DE240" s="409">
        <v>0</v>
      </c>
      <c r="DF240" s="409">
        <v>0</v>
      </c>
      <c r="DG240" s="409">
        <v>155.00949332373057</v>
      </c>
      <c r="DH240" s="409">
        <v>0</v>
      </c>
      <c r="DI240" s="409">
        <v>0</v>
      </c>
      <c r="DJ240" s="409"/>
      <c r="DK240" s="409">
        <v>0</v>
      </c>
      <c r="DL240" s="409">
        <v>0</v>
      </c>
      <c r="DM240" s="409">
        <v>0</v>
      </c>
      <c r="DN240" s="409">
        <v>0</v>
      </c>
      <c r="DO240" s="409">
        <v>0</v>
      </c>
      <c r="DP240" s="409">
        <v>-10.363545927767859</v>
      </c>
      <c r="DQ240" s="409">
        <v>0</v>
      </c>
      <c r="DR240" s="409">
        <v>-193.85912862776044</v>
      </c>
      <c r="DS240" s="409"/>
      <c r="DT240" s="409"/>
      <c r="DU240" s="409"/>
      <c r="DV240" s="409">
        <v>42019.92794064754</v>
      </c>
      <c r="DW240" s="409">
        <v>0</v>
      </c>
      <c r="DX240" s="409">
        <v>0</v>
      </c>
      <c r="DY240" s="409">
        <v>-8955.55242</v>
      </c>
      <c r="DZ240" s="409">
        <v>866.96388000000297</v>
      </c>
      <c r="EA240" s="409">
        <v>0</v>
      </c>
      <c r="EB240" s="409">
        <v>0</v>
      </c>
      <c r="EC240" s="409">
        <v>-9631.9555590867712</v>
      </c>
      <c r="ED240" s="409">
        <v>0</v>
      </c>
      <c r="EE240" s="409">
        <v>0</v>
      </c>
      <c r="EF240" s="409">
        <v>0</v>
      </c>
      <c r="EG240" s="409">
        <v>0</v>
      </c>
      <c r="EH240" s="409">
        <v>0</v>
      </c>
      <c r="EI240" s="409">
        <v>0</v>
      </c>
      <c r="EJ240" s="409">
        <v>0</v>
      </c>
      <c r="EK240" s="409">
        <v>0</v>
      </c>
      <c r="EL240" s="409">
        <v>0</v>
      </c>
      <c r="EM240" s="409">
        <v>0</v>
      </c>
      <c r="EN240" s="409">
        <v>0</v>
      </c>
      <c r="EO240" s="409">
        <v>0</v>
      </c>
      <c r="EP240" s="409">
        <v>0</v>
      </c>
      <c r="EQ240" s="409">
        <v>0</v>
      </c>
      <c r="ER240" s="409">
        <v>0</v>
      </c>
      <c r="ES240" s="409">
        <v>0</v>
      </c>
      <c r="ET240" s="409">
        <v>0</v>
      </c>
      <c r="EU240" s="409">
        <v>0</v>
      </c>
      <c r="EV240" s="409">
        <v>254</v>
      </c>
      <c r="EW240" s="409">
        <v>0</v>
      </c>
      <c r="EX240" s="409">
        <v>0</v>
      </c>
      <c r="EY240" s="409">
        <v>0</v>
      </c>
      <c r="EZ240" s="409"/>
      <c r="FA240" s="409">
        <v>0</v>
      </c>
      <c r="FB240" s="409"/>
      <c r="FC240" s="409"/>
      <c r="FD240" s="409"/>
      <c r="FE240" s="409"/>
      <c r="FF240" s="409">
        <v>0</v>
      </c>
      <c r="FG240" s="409">
        <v>0</v>
      </c>
      <c r="FH240" s="409">
        <v>0</v>
      </c>
      <c r="FI240" s="409">
        <v>0</v>
      </c>
    </row>
    <row r="241" spans="1:165">
      <c r="A241" s="409">
        <v>239</v>
      </c>
      <c r="B241" s="409" t="s">
        <v>1035</v>
      </c>
      <c r="C241" s="409" t="s">
        <v>2244</v>
      </c>
      <c r="D241" s="409" t="s">
        <v>1991</v>
      </c>
      <c r="E241" s="409" t="s">
        <v>968</v>
      </c>
      <c r="F241" s="409" t="s">
        <v>2249</v>
      </c>
      <c r="G241" s="409" t="s">
        <v>1323</v>
      </c>
      <c r="H241" s="409" t="s">
        <v>1323</v>
      </c>
      <c r="I241" s="409" t="s">
        <v>1323</v>
      </c>
      <c r="J241" s="409" t="s">
        <v>2245</v>
      </c>
      <c r="K241" s="835">
        <v>44562</v>
      </c>
      <c r="L241" s="409">
        <v>0</v>
      </c>
      <c r="M241" s="409">
        <v>0</v>
      </c>
      <c r="N241" s="409">
        <v>35.238999999999997</v>
      </c>
      <c r="O241" s="409">
        <v>35.238999999999997</v>
      </c>
      <c r="P241" s="409">
        <v>35.238999999999997</v>
      </c>
      <c r="Q241" s="409">
        <v>35.238999999999997</v>
      </c>
      <c r="R241" s="409"/>
      <c r="S241" s="409">
        <v>561.96</v>
      </c>
      <c r="T241" s="409">
        <v>243.39</v>
      </c>
      <c r="U241" s="409"/>
      <c r="V241" s="409">
        <v>28379.728649999997</v>
      </c>
      <c r="W241" s="409">
        <v>28379.728649999997</v>
      </c>
      <c r="X241" s="409">
        <v>25598.314379999996</v>
      </c>
      <c r="Y241" s="409">
        <v>0</v>
      </c>
      <c r="Z241" s="409">
        <v>0</v>
      </c>
      <c r="AA241" s="409">
        <v>0</v>
      </c>
      <c r="AB241" s="409">
        <v>0</v>
      </c>
      <c r="AC241" s="409">
        <v>0</v>
      </c>
      <c r="AD241" s="409">
        <v>4129.6254830235303</v>
      </c>
      <c r="AE241" s="409">
        <v>14449.347574118139</v>
      </c>
      <c r="AF241" s="409">
        <v>8576.7231195515305</v>
      </c>
      <c r="AG241" s="409">
        <v>0</v>
      </c>
      <c r="AH241" s="409">
        <v>0</v>
      </c>
      <c r="AI241" s="409">
        <v>0</v>
      </c>
      <c r="AJ241" s="409">
        <v>0</v>
      </c>
      <c r="AK241" s="409">
        <v>0</v>
      </c>
      <c r="AL241" s="409">
        <v>0</v>
      </c>
      <c r="AM241" s="409"/>
      <c r="AN241" s="409">
        <v>60.500831974919564</v>
      </c>
      <c r="AO241" s="409">
        <v>0</v>
      </c>
      <c r="AP241" s="409">
        <v>0</v>
      </c>
      <c r="AQ241" s="409">
        <v>0</v>
      </c>
      <c r="AR241" s="409">
        <v>0</v>
      </c>
      <c r="AS241" s="409">
        <v>0</v>
      </c>
      <c r="AT241" s="409">
        <v>0</v>
      </c>
      <c r="AU241" s="409">
        <v>0</v>
      </c>
      <c r="AV241" s="409">
        <v>0</v>
      </c>
      <c r="AW241" s="409">
        <v>0</v>
      </c>
      <c r="AX241" s="409">
        <v>0</v>
      </c>
      <c r="AY241" s="409">
        <v>0</v>
      </c>
      <c r="AZ241" s="409">
        <v>0</v>
      </c>
      <c r="BA241" s="409"/>
      <c r="BB241" s="409">
        <v>0</v>
      </c>
      <c r="BC241" s="409">
        <v>0</v>
      </c>
      <c r="BD241" s="409">
        <v>0</v>
      </c>
      <c r="BE241" s="409">
        <v>0</v>
      </c>
      <c r="BF241" s="409">
        <v>0</v>
      </c>
      <c r="BG241" s="409">
        <v>1163.5681465470395</v>
      </c>
      <c r="BH241" s="409">
        <v>0</v>
      </c>
      <c r="BI241" s="409">
        <v>0</v>
      </c>
      <c r="BJ241" s="409">
        <v>0</v>
      </c>
      <c r="BK241" s="409">
        <v>0</v>
      </c>
      <c r="BL241" s="409">
        <v>698</v>
      </c>
      <c r="BM241" s="409"/>
      <c r="BN241" s="409"/>
      <c r="BO241" s="409"/>
      <c r="BP241" s="409"/>
      <c r="BQ241" s="409"/>
      <c r="BR241" s="409"/>
      <c r="BS241" s="409"/>
      <c r="BT241" s="409">
        <v>2559.7609599999996</v>
      </c>
      <c r="BU241" s="409"/>
      <c r="BV241" s="409">
        <v>9740.2912660985694</v>
      </c>
      <c r="BW241" s="409"/>
      <c r="BX241" s="409"/>
      <c r="BY241" s="409"/>
      <c r="BZ241" s="409"/>
      <c r="CA241" s="409"/>
      <c r="CB241" s="409"/>
      <c r="CC241" s="409"/>
      <c r="CD241" s="409"/>
      <c r="CE241" s="409"/>
      <c r="CF241" s="409"/>
      <c r="CG241" s="409"/>
      <c r="CH241" s="409"/>
      <c r="CI241" s="409">
        <v>23039.207200000001</v>
      </c>
      <c r="CJ241" s="409">
        <v>-2502.754779999992</v>
      </c>
      <c r="CK241" s="409"/>
      <c r="CL241" s="409"/>
      <c r="CM241" s="409"/>
      <c r="CN241" s="409"/>
      <c r="CO241" s="409">
        <v>-3079.5362100000011</v>
      </c>
      <c r="CP241" s="409">
        <v>298.12194000000028</v>
      </c>
      <c r="CQ241" s="409">
        <v>31</v>
      </c>
      <c r="CR241" s="409">
        <v>530.79821492855081</v>
      </c>
      <c r="CS241" s="409">
        <v>0</v>
      </c>
      <c r="CT241" s="409">
        <v>0</v>
      </c>
      <c r="CU241" s="409">
        <v>0</v>
      </c>
      <c r="CV241" s="409">
        <v>0</v>
      </c>
      <c r="CW241" s="409">
        <v>0</v>
      </c>
      <c r="CX241" s="409">
        <v>0</v>
      </c>
      <c r="CY241" s="409">
        <v>0</v>
      </c>
      <c r="CZ241" s="409">
        <v>154.82221245080746</v>
      </c>
      <c r="DA241" s="409">
        <v>0</v>
      </c>
      <c r="DB241" s="409">
        <v>0</v>
      </c>
      <c r="DC241" s="409">
        <v>392.89888634966883</v>
      </c>
      <c r="DD241" s="409">
        <v>0</v>
      </c>
      <c r="DE241" s="409">
        <v>0</v>
      </c>
      <c r="DF241" s="409">
        <v>0</v>
      </c>
      <c r="DG241" s="409">
        <v>53.302948293633108</v>
      </c>
      <c r="DH241" s="409">
        <v>0</v>
      </c>
      <c r="DI241" s="409">
        <v>0</v>
      </c>
      <c r="DJ241" s="409"/>
      <c r="DK241" s="409">
        <v>0</v>
      </c>
      <c r="DL241" s="409">
        <v>0</v>
      </c>
      <c r="DM241" s="409">
        <v>0</v>
      </c>
      <c r="DN241" s="409">
        <v>0</v>
      </c>
      <c r="DO241" s="409">
        <v>0</v>
      </c>
      <c r="DP241" s="409">
        <v>-3.5637014280978505</v>
      </c>
      <c r="DQ241" s="409">
        <v>0</v>
      </c>
      <c r="DR241" s="409">
        <v>-66.662130737462178</v>
      </c>
      <c r="DS241" s="409"/>
      <c r="DT241" s="409"/>
      <c r="DU241" s="409"/>
      <c r="DV241" s="409">
        <v>14449.347574118139</v>
      </c>
      <c r="DW241" s="409">
        <v>0</v>
      </c>
      <c r="DX241" s="409">
        <v>0</v>
      </c>
      <c r="DY241" s="409">
        <v>-3079.536210000002</v>
      </c>
      <c r="DZ241" s="409">
        <v>298.1219400000009</v>
      </c>
      <c r="EA241" s="409">
        <v>0</v>
      </c>
      <c r="EB241" s="409">
        <v>0</v>
      </c>
      <c r="EC241" s="409">
        <v>-3312.130232309948</v>
      </c>
      <c r="ED241" s="409">
        <v>0</v>
      </c>
      <c r="EE241" s="409">
        <v>0</v>
      </c>
      <c r="EF241" s="409">
        <v>0</v>
      </c>
      <c r="EG241" s="409">
        <v>0</v>
      </c>
      <c r="EH241" s="409">
        <v>0</v>
      </c>
      <c r="EI241" s="409">
        <v>0</v>
      </c>
      <c r="EJ241" s="409">
        <v>0</v>
      </c>
      <c r="EK241" s="409">
        <v>0</v>
      </c>
      <c r="EL241" s="409">
        <v>0</v>
      </c>
      <c r="EM241" s="409">
        <v>0</v>
      </c>
      <c r="EN241" s="409">
        <v>0</v>
      </c>
      <c r="EO241" s="409">
        <v>0</v>
      </c>
      <c r="EP241" s="409">
        <v>0</v>
      </c>
      <c r="EQ241" s="409">
        <v>0</v>
      </c>
      <c r="ER241" s="409">
        <v>0</v>
      </c>
      <c r="ES241" s="409">
        <v>0</v>
      </c>
      <c r="ET241" s="409">
        <v>0</v>
      </c>
      <c r="EU241" s="409">
        <v>0</v>
      </c>
      <c r="EV241" s="409">
        <v>254</v>
      </c>
      <c r="EW241" s="409">
        <v>0</v>
      </c>
      <c r="EX241" s="409">
        <v>0</v>
      </c>
      <c r="EY241" s="409">
        <v>0</v>
      </c>
      <c r="EZ241" s="409"/>
      <c r="FA241" s="409">
        <v>0</v>
      </c>
      <c r="FB241" s="409"/>
      <c r="FC241" s="409"/>
      <c r="FD241" s="409"/>
      <c r="FE241" s="409"/>
      <c r="FF241" s="409">
        <v>0</v>
      </c>
      <c r="FG241" s="409">
        <v>0</v>
      </c>
      <c r="FH241" s="409">
        <v>0</v>
      </c>
      <c r="FI241" s="409">
        <v>0</v>
      </c>
    </row>
    <row r="242" spans="1:165">
      <c r="A242" s="409">
        <v>240</v>
      </c>
      <c r="B242" s="409" t="s">
        <v>1035</v>
      </c>
      <c r="C242" s="409" t="s">
        <v>2244</v>
      </c>
      <c r="D242" s="409" t="s">
        <v>1991</v>
      </c>
      <c r="E242" s="409" t="s">
        <v>968</v>
      </c>
      <c r="F242" s="409" t="s">
        <v>2250</v>
      </c>
      <c r="G242" s="409" t="s">
        <v>1323</v>
      </c>
      <c r="H242" s="409" t="s">
        <v>1323</v>
      </c>
      <c r="I242" s="409" t="s">
        <v>1323</v>
      </c>
      <c r="J242" s="409" t="s">
        <v>2245</v>
      </c>
      <c r="K242" s="835">
        <v>44562</v>
      </c>
      <c r="L242" s="409">
        <v>0</v>
      </c>
      <c r="M242" s="409">
        <v>0</v>
      </c>
      <c r="N242" s="409">
        <v>8.3030000000000008</v>
      </c>
      <c r="O242" s="409">
        <v>8.3030000000000008</v>
      </c>
      <c r="P242" s="409">
        <v>8.3030000000000008</v>
      </c>
      <c r="Q242" s="409">
        <v>8.3030000000000008</v>
      </c>
      <c r="R242" s="409"/>
      <c r="S242" s="409">
        <v>561.96</v>
      </c>
      <c r="T242" s="409">
        <v>243.39</v>
      </c>
      <c r="U242" s="409"/>
      <c r="V242" s="409">
        <v>6686.8210500000005</v>
      </c>
      <c r="W242" s="409">
        <v>6686.8210500000005</v>
      </c>
      <c r="X242" s="409">
        <v>6031.4652600000009</v>
      </c>
      <c r="Y242" s="409">
        <v>0</v>
      </c>
      <c r="Z242" s="409">
        <v>0</v>
      </c>
      <c r="AA242" s="409">
        <v>0</v>
      </c>
      <c r="AB242" s="409">
        <v>0</v>
      </c>
      <c r="AC242" s="409">
        <v>0</v>
      </c>
      <c r="AD242" s="409">
        <v>973.02081175811963</v>
      </c>
      <c r="AE242" s="409">
        <v>3404.5498711059604</v>
      </c>
      <c r="AF242" s="409">
        <v>2020.8442935848452</v>
      </c>
      <c r="AG242" s="409">
        <v>0</v>
      </c>
      <c r="AH242" s="409">
        <v>0</v>
      </c>
      <c r="AI242" s="409">
        <v>0</v>
      </c>
      <c r="AJ242" s="409">
        <v>0</v>
      </c>
      <c r="AK242" s="409">
        <v>0</v>
      </c>
      <c r="AL242" s="409">
        <v>0</v>
      </c>
      <c r="AM242" s="409"/>
      <c r="AN242" s="409">
        <v>14.255183401565233</v>
      </c>
      <c r="AO242" s="409">
        <v>0</v>
      </c>
      <c r="AP242" s="409">
        <v>0</v>
      </c>
      <c r="AQ242" s="409">
        <v>0</v>
      </c>
      <c r="AR242" s="409">
        <v>0</v>
      </c>
      <c r="AS242" s="409">
        <v>0</v>
      </c>
      <c r="AT242" s="409">
        <v>0</v>
      </c>
      <c r="AU242" s="409">
        <v>0</v>
      </c>
      <c r="AV242" s="409">
        <v>0</v>
      </c>
      <c r="AW242" s="409">
        <v>0</v>
      </c>
      <c r="AX242" s="409">
        <v>0</v>
      </c>
      <c r="AY242" s="409">
        <v>0</v>
      </c>
      <c r="AZ242" s="409">
        <v>0</v>
      </c>
      <c r="BA242" s="409"/>
      <c r="BB242" s="409">
        <v>0</v>
      </c>
      <c r="BC242" s="409">
        <v>0</v>
      </c>
      <c r="BD242" s="409">
        <v>0</v>
      </c>
      <c r="BE242" s="409">
        <v>0</v>
      </c>
      <c r="BF242" s="409">
        <v>0</v>
      </c>
      <c r="BG242" s="409">
        <v>274.1594914946528</v>
      </c>
      <c r="BH242" s="409">
        <v>0</v>
      </c>
      <c r="BI242" s="409">
        <v>49.59</v>
      </c>
      <c r="BJ242" s="409">
        <v>228.8</v>
      </c>
      <c r="BK242" s="409">
        <v>1113.57</v>
      </c>
      <c r="BL242" s="409">
        <v>80</v>
      </c>
      <c r="BM242" s="409"/>
      <c r="BN242" s="409"/>
      <c r="BO242" s="409"/>
      <c r="BP242" s="409"/>
      <c r="BQ242" s="409"/>
      <c r="BR242" s="409"/>
      <c r="BS242" s="409"/>
      <c r="BT242" s="409"/>
      <c r="BU242" s="409"/>
      <c r="BV242" s="409">
        <v>2295.0037850794979</v>
      </c>
      <c r="BW242" s="409"/>
      <c r="BX242" s="409"/>
      <c r="BY242" s="409"/>
      <c r="BZ242" s="409"/>
      <c r="CA242" s="409"/>
      <c r="CB242" s="409"/>
      <c r="CC242" s="409"/>
      <c r="CD242" s="409"/>
      <c r="CE242" s="409"/>
      <c r="CF242" s="409"/>
      <c r="CG242" s="409"/>
      <c r="CH242" s="409"/>
      <c r="CI242" s="409">
        <v>6029.2860000000001</v>
      </c>
      <c r="CJ242" s="409">
        <v>-657.56505000000107</v>
      </c>
      <c r="CK242" s="409"/>
      <c r="CL242" s="409"/>
      <c r="CM242" s="409"/>
      <c r="CN242" s="409"/>
      <c r="CO242" s="409">
        <v>-725.59917000000041</v>
      </c>
      <c r="CP242" s="409">
        <v>70.243380000000073</v>
      </c>
      <c r="CQ242" s="409">
        <v>31</v>
      </c>
      <c r="CR242" s="409">
        <v>125.06647687368422</v>
      </c>
      <c r="CS242" s="409">
        <v>0</v>
      </c>
      <c r="CT242" s="409">
        <v>0</v>
      </c>
      <c r="CU242" s="409">
        <v>0</v>
      </c>
      <c r="CV242" s="409">
        <v>0</v>
      </c>
      <c r="CW242" s="409">
        <v>0</v>
      </c>
      <c r="CX242" s="409">
        <v>0</v>
      </c>
      <c r="CY242" s="409">
        <v>0</v>
      </c>
      <c r="CZ242" s="409">
        <v>36.479151791454115</v>
      </c>
      <c r="DA242" s="409">
        <v>0</v>
      </c>
      <c r="DB242" s="409">
        <v>0</v>
      </c>
      <c r="DC242" s="409">
        <v>92.574688650679946</v>
      </c>
      <c r="DD242" s="409">
        <v>0</v>
      </c>
      <c r="DE242" s="409">
        <v>0</v>
      </c>
      <c r="DF242" s="409">
        <v>0</v>
      </c>
      <c r="DG242" s="409">
        <v>12.559220740714466</v>
      </c>
      <c r="DH242" s="409">
        <v>0</v>
      </c>
      <c r="DI242" s="409">
        <v>0</v>
      </c>
      <c r="DJ242" s="409"/>
      <c r="DK242" s="409">
        <v>0</v>
      </c>
      <c r="DL242" s="409">
        <v>0</v>
      </c>
      <c r="DM242" s="409">
        <v>0</v>
      </c>
      <c r="DN242" s="409">
        <v>0</v>
      </c>
      <c r="DO242" s="409">
        <v>0</v>
      </c>
      <c r="DP242" s="409">
        <v>-0.83967799760198858</v>
      </c>
      <c r="DQ242" s="409">
        <v>0</v>
      </c>
      <c r="DR242" s="409">
        <v>-15.706906311562431</v>
      </c>
      <c r="DS242" s="409"/>
      <c r="DT242" s="409"/>
      <c r="DU242" s="409"/>
      <c r="DV242" s="409">
        <v>3404.5498711059604</v>
      </c>
      <c r="DW242" s="409">
        <v>0</v>
      </c>
      <c r="DX242" s="409">
        <v>0</v>
      </c>
      <c r="DY242" s="409">
        <v>-725.59917000000041</v>
      </c>
      <c r="DZ242" s="409">
        <v>70.243380000000343</v>
      </c>
      <c r="EA242" s="409">
        <v>0</v>
      </c>
      <c r="EB242" s="409">
        <v>0</v>
      </c>
      <c r="EC242" s="409">
        <v>-780.40288654245296</v>
      </c>
      <c r="ED242" s="409">
        <v>0</v>
      </c>
      <c r="EE242" s="409">
        <v>0</v>
      </c>
      <c r="EF242" s="409">
        <v>0</v>
      </c>
      <c r="EG242" s="409">
        <v>0</v>
      </c>
      <c r="EH242" s="409">
        <v>0</v>
      </c>
      <c r="EI242" s="409">
        <v>0</v>
      </c>
      <c r="EJ242" s="409">
        <v>0</v>
      </c>
      <c r="EK242" s="409">
        <v>0</v>
      </c>
      <c r="EL242" s="409">
        <v>0</v>
      </c>
      <c r="EM242" s="409">
        <v>0</v>
      </c>
      <c r="EN242" s="409">
        <v>0</v>
      </c>
      <c r="EO242" s="409">
        <v>0</v>
      </c>
      <c r="EP242" s="409">
        <v>0</v>
      </c>
      <c r="EQ242" s="409">
        <v>0</v>
      </c>
      <c r="ER242" s="409">
        <v>0</v>
      </c>
      <c r="ES242" s="409">
        <v>0</v>
      </c>
      <c r="ET242" s="409">
        <v>0</v>
      </c>
      <c r="EU242" s="409">
        <v>0</v>
      </c>
      <c r="EV242" s="409">
        <v>254</v>
      </c>
      <c r="EW242" s="409">
        <v>0</v>
      </c>
      <c r="EX242" s="409">
        <v>0</v>
      </c>
      <c r="EY242" s="409">
        <v>0</v>
      </c>
      <c r="EZ242" s="409"/>
      <c r="FA242" s="409">
        <v>0</v>
      </c>
      <c r="FB242" s="409"/>
      <c r="FC242" s="409"/>
      <c r="FD242" s="409"/>
      <c r="FE242" s="409"/>
      <c r="FF242" s="409">
        <v>0</v>
      </c>
      <c r="FG242" s="409">
        <v>0</v>
      </c>
      <c r="FH242" s="409">
        <v>0</v>
      </c>
      <c r="FI242" s="409">
        <v>0</v>
      </c>
    </row>
    <row r="243" spans="1:165">
      <c r="A243" s="409">
        <v>241</v>
      </c>
      <c r="B243" s="409" t="s">
        <v>1035</v>
      </c>
      <c r="C243" s="409" t="s">
        <v>2252</v>
      </c>
      <c r="D243" s="409" t="s">
        <v>1991</v>
      </c>
      <c r="E243" s="409" t="s">
        <v>968</v>
      </c>
      <c r="F243" s="409" t="s">
        <v>968</v>
      </c>
      <c r="G243" s="409" t="s">
        <v>1323</v>
      </c>
      <c r="H243" s="409" t="s">
        <v>1323</v>
      </c>
      <c r="I243" s="409" t="s">
        <v>2237</v>
      </c>
      <c r="J243" s="409" t="s">
        <v>2245</v>
      </c>
      <c r="K243" s="835">
        <v>44562</v>
      </c>
      <c r="L243" s="409">
        <v>0</v>
      </c>
      <c r="M243" s="409">
        <v>0</v>
      </c>
      <c r="N243" s="409">
        <v>0.186</v>
      </c>
      <c r="O243" s="409">
        <v>0.186</v>
      </c>
      <c r="P243" s="409">
        <v>0.186</v>
      </c>
      <c r="Q243" s="409">
        <v>0.186</v>
      </c>
      <c r="R243" s="409"/>
      <c r="S243" s="409">
        <v>386.11</v>
      </c>
      <c r="T243" s="409">
        <v>243.39</v>
      </c>
      <c r="U243" s="409"/>
      <c r="V243" s="409">
        <v>117.087</v>
      </c>
      <c r="W243" s="409">
        <v>117.087</v>
      </c>
      <c r="X243" s="409">
        <v>108.98112</v>
      </c>
      <c r="Y243" s="409">
        <v>0</v>
      </c>
      <c r="Z243" s="409">
        <v>4.6283268085267535</v>
      </c>
      <c r="AA243" s="409">
        <v>0</v>
      </c>
      <c r="AB243" s="409">
        <v>0</v>
      </c>
      <c r="AC243" s="409">
        <v>0</v>
      </c>
      <c r="AD243" s="409">
        <v>13.07812764793545</v>
      </c>
      <c r="AE243" s="409">
        <v>45.760306339432624</v>
      </c>
      <c r="AF243" s="409">
        <v>45.270027533033989</v>
      </c>
      <c r="AG243" s="409">
        <v>0</v>
      </c>
      <c r="AH243" s="409">
        <v>0</v>
      </c>
      <c r="AI243" s="409">
        <v>0</v>
      </c>
      <c r="AJ243" s="409">
        <v>0</v>
      </c>
      <c r="AK243" s="409">
        <v>0</v>
      </c>
      <c r="AL243" s="409">
        <v>1.8895908935268177</v>
      </c>
      <c r="AM243" s="409"/>
      <c r="AN243" s="409">
        <v>0.3193380841492392</v>
      </c>
      <c r="AO243" s="409">
        <v>0</v>
      </c>
      <c r="AP243" s="409">
        <v>0</v>
      </c>
      <c r="AQ243" s="409">
        <v>0</v>
      </c>
      <c r="AR243" s="409">
        <v>0</v>
      </c>
      <c r="AS243" s="409">
        <v>0</v>
      </c>
      <c r="AT243" s="409">
        <v>0</v>
      </c>
      <c r="AU243" s="409">
        <v>0</v>
      </c>
      <c r="AV243" s="409">
        <v>0</v>
      </c>
      <c r="AW243" s="409">
        <v>0</v>
      </c>
      <c r="AX243" s="409">
        <v>0</v>
      </c>
      <c r="AY243" s="409">
        <v>0</v>
      </c>
      <c r="AZ243" s="409">
        <v>0</v>
      </c>
      <c r="BA243" s="409"/>
      <c r="BB243" s="409">
        <v>0</v>
      </c>
      <c r="BC243" s="409">
        <v>0</v>
      </c>
      <c r="BD243" s="409">
        <v>0</v>
      </c>
      <c r="BE243" s="409">
        <v>0</v>
      </c>
      <c r="BF243" s="409">
        <v>0</v>
      </c>
      <c r="BG243" s="409">
        <v>6.1415952568957506</v>
      </c>
      <c r="BH243" s="409">
        <v>0</v>
      </c>
      <c r="BI243" s="409">
        <v>0</v>
      </c>
      <c r="BJ243" s="409">
        <v>0</v>
      </c>
      <c r="BK243" s="409">
        <v>0</v>
      </c>
      <c r="BL243" s="409">
        <v>0</v>
      </c>
      <c r="BM243" s="409"/>
      <c r="BN243" s="409"/>
      <c r="BO243" s="409"/>
      <c r="BP243" s="409"/>
      <c r="BQ243" s="409"/>
      <c r="BR243" s="409"/>
      <c r="BS243" s="409"/>
      <c r="BT243" s="409"/>
      <c r="BU243" s="409"/>
      <c r="BV243" s="409">
        <v>51.411622789929737</v>
      </c>
      <c r="BW243" s="409"/>
      <c r="BX243" s="409"/>
      <c r="BY243" s="409"/>
      <c r="BZ243" s="409"/>
      <c r="CA243" s="409"/>
      <c r="CB243" s="409"/>
      <c r="CC243" s="409"/>
      <c r="CD243" s="409"/>
      <c r="CE243" s="409"/>
      <c r="CF243" s="409"/>
      <c r="CG243" s="409"/>
      <c r="CH243" s="409"/>
      <c r="CI243" s="409">
        <v>111.32480000000001</v>
      </c>
      <c r="CJ243" s="409">
        <v>-5.7922000000000082</v>
      </c>
      <c r="CK243" s="409"/>
      <c r="CL243" s="409"/>
      <c r="CM243" s="409"/>
      <c r="CN243" s="409"/>
      <c r="CO243" s="409">
        <v>-9.6794400000000032</v>
      </c>
      <c r="CP243" s="409">
        <v>1.5735600000000014</v>
      </c>
      <c r="CQ243" s="409">
        <v>31</v>
      </c>
      <c r="CR243" s="409">
        <v>2.3842718679320143</v>
      </c>
      <c r="CS243" s="409">
        <v>0</v>
      </c>
      <c r="CT243" s="409">
        <v>0</v>
      </c>
      <c r="CU243" s="409">
        <v>0</v>
      </c>
      <c r="CV243" s="409">
        <v>0</v>
      </c>
      <c r="CW243" s="409">
        <v>0</v>
      </c>
      <c r="CX243" s="409">
        <v>0</v>
      </c>
      <c r="CY243" s="409">
        <v>0</v>
      </c>
      <c r="CZ243" s="409">
        <v>0.49030709091924685</v>
      </c>
      <c r="DA243" s="409">
        <v>0</v>
      </c>
      <c r="DB243" s="409">
        <v>0</v>
      </c>
      <c r="DC243" s="409">
        <v>2.0738157399766877</v>
      </c>
      <c r="DD243" s="409">
        <v>0</v>
      </c>
      <c r="DE243" s="409">
        <v>0</v>
      </c>
      <c r="DF243" s="409">
        <v>0</v>
      </c>
      <c r="DG243" s="409">
        <v>0.28134590603069842</v>
      </c>
      <c r="DH243" s="409">
        <v>0</v>
      </c>
      <c r="DI243" s="409">
        <v>-3.3753835356729489E-2</v>
      </c>
      <c r="DJ243" s="409"/>
      <c r="DK243" s="409">
        <v>0</v>
      </c>
      <c r="DL243" s="409">
        <v>0</v>
      </c>
      <c r="DM243" s="409">
        <v>0</v>
      </c>
      <c r="DN243" s="409">
        <v>0</v>
      </c>
      <c r="DO243" s="409">
        <v>-1.0598625031711162E-2</v>
      </c>
      <c r="DP243" s="409">
        <v>-1.8810081603513162E-2</v>
      </c>
      <c r="DQ243" s="409">
        <v>0</v>
      </c>
      <c r="DR243" s="409">
        <v>-0.39803432700269625</v>
      </c>
      <c r="DS243" s="409"/>
      <c r="DT243" s="409"/>
      <c r="DU243" s="409"/>
      <c r="DV243" s="409">
        <v>45.760306339432624</v>
      </c>
      <c r="DW243" s="409">
        <v>0</v>
      </c>
      <c r="DX243" s="409">
        <v>0</v>
      </c>
      <c r="DY243" s="409">
        <v>-9.6794400000000067</v>
      </c>
      <c r="DZ243" s="409">
        <v>1.5735600000000005</v>
      </c>
      <c r="EA243" s="409">
        <v>0</v>
      </c>
      <c r="EB243" s="409">
        <v>0</v>
      </c>
      <c r="EC243" s="409">
        <v>-10.489338240993192</v>
      </c>
      <c r="ED243" s="409">
        <v>0</v>
      </c>
      <c r="EE243" s="409">
        <v>0</v>
      </c>
      <c r="EF243" s="409">
        <v>0</v>
      </c>
      <c r="EG243" s="409">
        <v>0</v>
      </c>
      <c r="EH243" s="409">
        <v>0</v>
      </c>
      <c r="EI243" s="409">
        <v>0</v>
      </c>
      <c r="EJ243" s="409">
        <v>0</v>
      </c>
      <c r="EK243" s="409">
        <v>0</v>
      </c>
      <c r="EL243" s="409">
        <v>0</v>
      </c>
      <c r="EM243" s="409">
        <v>0</v>
      </c>
      <c r="EN243" s="409">
        <v>0</v>
      </c>
      <c r="EO243" s="409">
        <v>0</v>
      </c>
      <c r="EP243" s="409">
        <v>0</v>
      </c>
      <c r="EQ243" s="409">
        <v>0</v>
      </c>
      <c r="ER243" s="409">
        <v>0</v>
      </c>
      <c r="ES243" s="409">
        <v>0</v>
      </c>
      <c r="ET243" s="409">
        <v>0</v>
      </c>
      <c r="EU243" s="409">
        <v>0</v>
      </c>
      <c r="EV243" s="409">
        <v>254</v>
      </c>
      <c r="EW243" s="409">
        <v>0</v>
      </c>
      <c r="EX243" s="409">
        <v>0</v>
      </c>
      <c r="EY243" s="409">
        <v>0</v>
      </c>
      <c r="EZ243" s="409"/>
      <c r="FA243" s="409">
        <v>0</v>
      </c>
      <c r="FB243" s="409"/>
      <c r="FC243" s="409"/>
      <c r="FD243" s="409"/>
      <c r="FE243" s="409"/>
      <c r="FF243" s="409">
        <v>0</v>
      </c>
      <c r="FG243" s="409">
        <v>0</v>
      </c>
      <c r="FH243" s="409">
        <v>0</v>
      </c>
      <c r="FI243" s="409">
        <v>0</v>
      </c>
    </row>
    <row r="244" spans="1:165">
      <c r="A244" s="409">
        <v>242</v>
      </c>
      <c r="B244" s="409" t="s">
        <v>1035</v>
      </c>
      <c r="C244" s="409" t="s">
        <v>2252</v>
      </c>
      <c r="D244" s="409" t="s">
        <v>1991</v>
      </c>
      <c r="E244" s="409" t="s">
        <v>968</v>
      </c>
      <c r="F244" s="409" t="s">
        <v>968</v>
      </c>
      <c r="G244" s="409" t="s">
        <v>1323</v>
      </c>
      <c r="H244" s="409" t="s">
        <v>1323</v>
      </c>
      <c r="I244" s="409" t="s">
        <v>1323</v>
      </c>
      <c r="J244" s="409" t="s">
        <v>2245</v>
      </c>
      <c r="K244" s="835">
        <v>44562</v>
      </c>
      <c r="L244" s="409">
        <v>0</v>
      </c>
      <c r="M244" s="409">
        <v>0</v>
      </c>
      <c r="N244" s="409">
        <v>0</v>
      </c>
      <c r="O244" s="409">
        <v>0</v>
      </c>
      <c r="P244" s="409">
        <v>0</v>
      </c>
      <c r="Q244" s="409">
        <v>0</v>
      </c>
      <c r="R244" s="409"/>
      <c r="S244" s="409"/>
      <c r="T244" s="409"/>
      <c r="U244" s="409"/>
      <c r="V244" s="409"/>
      <c r="W244" s="409"/>
      <c r="X244" s="409"/>
      <c r="Y244" s="409"/>
      <c r="Z244" s="409"/>
      <c r="AA244" s="409">
        <v>0</v>
      </c>
      <c r="AB244" s="409"/>
      <c r="AC244" s="409"/>
      <c r="AD244" s="409"/>
      <c r="AE244" s="409"/>
      <c r="AF244" s="409"/>
      <c r="AG244" s="409"/>
      <c r="AH244" s="409"/>
      <c r="AI244" s="409"/>
      <c r="AJ244" s="409"/>
      <c r="AK244" s="409"/>
      <c r="AL244" s="409"/>
      <c r="AM244" s="409"/>
      <c r="AN244" s="409"/>
      <c r="AO244" s="409"/>
      <c r="AP244" s="409"/>
      <c r="AQ244" s="409"/>
      <c r="AR244" s="409"/>
      <c r="AS244" s="409"/>
      <c r="AT244" s="409"/>
      <c r="AU244" s="409"/>
      <c r="AV244" s="409"/>
      <c r="AW244" s="409"/>
      <c r="AX244" s="409"/>
      <c r="AY244" s="409"/>
      <c r="AZ244" s="409">
        <v>0</v>
      </c>
      <c r="BA244" s="409"/>
      <c r="BB244" s="409"/>
      <c r="BC244" s="409"/>
      <c r="BD244" s="409"/>
      <c r="BE244" s="409"/>
      <c r="BF244" s="409"/>
      <c r="BG244" s="409"/>
      <c r="BH244" s="409"/>
      <c r="BI244" s="409">
        <v>0</v>
      </c>
      <c r="BJ244" s="409">
        <v>0</v>
      </c>
      <c r="BK244" s="409">
        <v>0</v>
      </c>
      <c r="BL244" s="409">
        <v>1</v>
      </c>
      <c r="BM244" s="409"/>
      <c r="BN244" s="409"/>
      <c r="BO244" s="409"/>
      <c r="BP244" s="409"/>
      <c r="BQ244" s="409"/>
      <c r="BR244" s="409"/>
      <c r="BS244" s="409"/>
      <c r="BT244" s="409"/>
      <c r="BU244" s="409"/>
      <c r="BV244" s="409"/>
      <c r="BW244" s="409"/>
      <c r="BX244" s="409"/>
      <c r="BY244" s="409"/>
      <c r="BZ244" s="409"/>
      <c r="CA244" s="409"/>
      <c r="CB244" s="409"/>
      <c r="CC244" s="409"/>
      <c r="CD244" s="409"/>
      <c r="CE244" s="409"/>
      <c r="CF244" s="409"/>
      <c r="CG244" s="409"/>
      <c r="CH244" s="409"/>
      <c r="CI244" s="409"/>
      <c r="CJ244" s="409">
        <v>-0.03</v>
      </c>
      <c r="CK244" s="409"/>
      <c r="CL244" s="409"/>
      <c r="CM244" s="409"/>
      <c r="CN244" s="409"/>
      <c r="CO244" s="409">
        <v>0</v>
      </c>
      <c r="CP244" s="409">
        <v>0</v>
      </c>
      <c r="CQ244" s="409">
        <v>31</v>
      </c>
      <c r="CR244" s="409"/>
      <c r="CS244" s="409"/>
      <c r="CT244" s="409"/>
      <c r="CU244" s="409"/>
      <c r="CV244" s="409"/>
      <c r="CW244" s="409"/>
      <c r="CX244" s="409"/>
      <c r="CY244" s="409"/>
      <c r="CZ244" s="409"/>
      <c r="DA244" s="409"/>
      <c r="DB244" s="409"/>
      <c r="DC244" s="409"/>
      <c r="DD244" s="409"/>
      <c r="DE244" s="409"/>
      <c r="DF244" s="409"/>
      <c r="DG244" s="409"/>
      <c r="DH244" s="409"/>
      <c r="DI244" s="409"/>
      <c r="DJ244" s="409"/>
      <c r="DK244" s="409">
        <v>0</v>
      </c>
      <c r="DL244" s="409"/>
      <c r="DM244" s="409"/>
      <c r="DN244" s="409"/>
      <c r="DO244" s="409"/>
      <c r="DP244" s="409"/>
      <c r="DQ244" s="409"/>
      <c r="DR244" s="409"/>
      <c r="DS244" s="409"/>
      <c r="DT244" s="409"/>
      <c r="DU244" s="409"/>
      <c r="DV244" s="409"/>
      <c r="DW244" s="409"/>
      <c r="DX244" s="409"/>
      <c r="DY244" s="409"/>
      <c r="DZ244" s="409"/>
      <c r="EA244" s="409"/>
      <c r="EB244" s="409"/>
      <c r="EC244" s="409"/>
      <c r="ED244" s="409"/>
      <c r="EE244" s="409"/>
      <c r="EF244" s="409"/>
      <c r="EG244" s="409"/>
      <c r="EH244" s="409"/>
      <c r="EI244" s="409"/>
      <c r="EJ244" s="409"/>
      <c r="EK244" s="409"/>
      <c r="EL244" s="409"/>
      <c r="EM244" s="409"/>
      <c r="EN244" s="409"/>
      <c r="EO244" s="409"/>
      <c r="EP244" s="409"/>
      <c r="EQ244" s="409"/>
      <c r="ER244" s="409"/>
      <c r="ES244" s="409"/>
      <c r="ET244" s="409"/>
      <c r="EU244" s="409"/>
      <c r="EV244" s="409">
        <v>254</v>
      </c>
      <c r="EW244" s="409"/>
      <c r="EX244" s="409"/>
      <c r="EY244" s="409"/>
      <c r="EZ244" s="409"/>
      <c r="FA244" s="409">
        <v>0</v>
      </c>
      <c r="FB244" s="409"/>
      <c r="FC244" s="409"/>
      <c r="FD244" s="409"/>
      <c r="FE244" s="409"/>
      <c r="FF244" s="409">
        <v>0</v>
      </c>
      <c r="FG244" s="409">
        <v>0</v>
      </c>
      <c r="FH244" s="409">
        <v>0</v>
      </c>
      <c r="FI244" s="409">
        <v>0</v>
      </c>
    </row>
    <row r="245" spans="1:165">
      <c r="A245" s="409">
        <v>243</v>
      </c>
      <c r="B245" s="409" t="s">
        <v>1035</v>
      </c>
      <c r="C245" s="409" t="s">
        <v>2244</v>
      </c>
      <c r="D245" s="409" t="s">
        <v>1994</v>
      </c>
      <c r="E245" s="409" t="s">
        <v>969</v>
      </c>
      <c r="F245" s="409" t="s">
        <v>1323</v>
      </c>
      <c r="G245" s="409" t="s">
        <v>1323</v>
      </c>
      <c r="H245" s="409" t="s">
        <v>1323</v>
      </c>
      <c r="I245" s="409" t="s">
        <v>1323</v>
      </c>
      <c r="J245" s="409" t="s">
        <v>2245</v>
      </c>
      <c r="K245" s="835">
        <v>44562</v>
      </c>
      <c r="L245" s="409">
        <v>0</v>
      </c>
      <c r="M245" s="409">
        <v>0</v>
      </c>
      <c r="N245" s="409">
        <v>0.435</v>
      </c>
      <c r="O245" s="409">
        <v>0.435</v>
      </c>
      <c r="P245" s="409">
        <v>0.435</v>
      </c>
      <c r="Q245" s="409">
        <v>0.435</v>
      </c>
      <c r="R245" s="409"/>
      <c r="S245" s="409">
        <v>597.01</v>
      </c>
      <c r="T245" s="409">
        <v>243.39</v>
      </c>
      <c r="U245" s="409"/>
      <c r="V245" s="409">
        <v>365.57399999999996</v>
      </c>
      <c r="W245" s="409">
        <v>365.57399999999996</v>
      </c>
      <c r="X245" s="409">
        <v>331.15679999999998</v>
      </c>
      <c r="Y245" s="409">
        <v>0</v>
      </c>
      <c r="Z245" s="409">
        <v>10.824312697360956</v>
      </c>
      <c r="AA245" s="409">
        <v>0</v>
      </c>
      <c r="AB245" s="409">
        <v>0</v>
      </c>
      <c r="AC245" s="409">
        <v>0</v>
      </c>
      <c r="AD245" s="409">
        <v>50.977243540260389</v>
      </c>
      <c r="AE245" s="409">
        <v>178.36675827184061</v>
      </c>
      <c r="AF245" s="409">
        <v>105.87345148854723</v>
      </c>
      <c r="AG245" s="409">
        <v>0</v>
      </c>
      <c r="AH245" s="409">
        <v>0</v>
      </c>
      <c r="AI245" s="409">
        <v>0</v>
      </c>
      <c r="AJ245" s="409">
        <v>0</v>
      </c>
      <c r="AK245" s="409">
        <v>0</v>
      </c>
      <c r="AL245" s="409">
        <v>4.419204509054655</v>
      </c>
      <c r="AM245" s="409"/>
      <c r="AN245" s="409">
        <v>0.74683906776838194</v>
      </c>
      <c r="AO245" s="409">
        <v>0</v>
      </c>
      <c r="AP245" s="409">
        <v>0</v>
      </c>
      <c r="AQ245" s="409">
        <v>0</v>
      </c>
      <c r="AR245" s="409">
        <v>0</v>
      </c>
      <c r="AS245" s="409">
        <v>0</v>
      </c>
      <c r="AT245" s="409">
        <v>0</v>
      </c>
      <c r="AU245" s="409">
        <v>0</v>
      </c>
      <c r="AV245" s="409">
        <v>0</v>
      </c>
      <c r="AW245" s="409">
        <v>0</v>
      </c>
      <c r="AX245" s="409">
        <v>0</v>
      </c>
      <c r="AY245" s="409">
        <v>0</v>
      </c>
      <c r="AZ245" s="409">
        <v>0</v>
      </c>
      <c r="BA245" s="409"/>
      <c r="BB245" s="409">
        <v>0</v>
      </c>
      <c r="BC245" s="409">
        <v>0</v>
      </c>
      <c r="BD245" s="409">
        <v>0</v>
      </c>
      <c r="BE245" s="409">
        <v>0</v>
      </c>
      <c r="BF245" s="409">
        <v>0</v>
      </c>
      <c r="BG245" s="409">
        <v>14.363408262094902</v>
      </c>
      <c r="BH245" s="409">
        <v>0</v>
      </c>
      <c r="BI245" s="409">
        <v>0</v>
      </c>
      <c r="BJ245" s="409">
        <v>0</v>
      </c>
      <c r="BK245" s="409">
        <v>0</v>
      </c>
      <c r="BL245" s="409">
        <v>3</v>
      </c>
      <c r="BM245" s="409"/>
      <c r="BN245" s="409"/>
      <c r="BO245" s="409"/>
      <c r="BP245" s="409"/>
      <c r="BQ245" s="409"/>
      <c r="BR245" s="409"/>
      <c r="BS245" s="409"/>
      <c r="BT245" s="409"/>
      <c r="BU245" s="409"/>
      <c r="BV245" s="409">
        <v>120.23685975064214</v>
      </c>
      <c r="BW245" s="409"/>
      <c r="BX245" s="409"/>
      <c r="BY245" s="409"/>
      <c r="BZ245" s="409"/>
      <c r="CA245" s="409"/>
      <c r="CB245" s="409"/>
      <c r="CC245" s="409"/>
      <c r="CD245" s="409"/>
      <c r="CE245" s="409"/>
      <c r="CF245" s="409"/>
      <c r="CG245" s="409"/>
      <c r="CH245" s="409"/>
      <c r="CI245" s="409">
        <v>334.96320000000003</v>
      </c>
      <c r="CJ245" s="409">
        <v>-30.640799999999899</v>
      </c>
      <c r="CK245" s="409"/>
      <c r="CL245" s="409"/>
      <c r="CM245" s="409"/>
      <c r="CN245" s="409"/>
      <c r="CO245" s="409">
        <v>-38.09729999999999</v>
      </c>
      <c r="CP245" s="409">
        <v>3.6801000000000035</v>
      </c>
      <c r="CQ245" s="409">
        <v>31</v>
      </c>
      <c r="CR245" s="409">
        <v>6.4701130097208761</v>
      </c>
      <c r="CS245" s="409">
        <v>0</v>
      </c>
      <c r="CT245" s="409">
        <v>0</v>
      </c>
      <c r="CU245" s="409">
        <v>0</v>
      </c>
      <c r="CV245" s="409">
        <v>0</v>
      </c>
      <c r="CW245" s="409">
        <v>0</v>
      </c>
      <c r="CX245" s="409">
        <v>0</v>
      </c>
      <c r="CY245" s="409">
        <v>0</v>
      </c>
      <c r="CZ245" s="409">
        <v>1.9111683764040137</v>
      </c>
      <c r="DA245" s="409">
        <v>0</v>
      </c>
      <c r="DB245" s="409">
        <v>0</v>
      </c>
      <c r="DC245" s="409">
        <v>4.8500529402680712</v>
      </c>
      <c r="DD245" s="409">
        <v>0</v>
      </c>
      <c r="DE245" s="409">
        <v>0</v>
      </c>
      <c r="DF245" s="409">
        <v>0</v>
      </c>
      <c r="DG245" s="409">
        <v>0.65798639313630858</v>
      </c>
      <c r="DH245" s="409">
        <v>0</v>
      </c>
      <c r="DI245" s="409">
        <v>-7.8940421398803196E-2</v>
      </c>
      <c r="DJ245" s="409"/>
      <c r="DK245" s="409">
        <v>0</v>
      </c>
      <c r="DL245" s="409">
        <v>0</v>
      </c>
      <c r="DM245" s="409">
        <v>0</v>
      </c>
      <c r="DN245" s="409">
        <v>0</v>
      </c>
      <c r="DO245" s="409">
        <v>-2.4787106929002434E-2</v>
      </c>
      <c r="DP245" s="409">
        <v>-4.3991319879184032E-2</v>
      </c>
      <c r="DQ245" s="409">
        <v>0</v>
      </c>
      <c r="DR245" s="409">
        <v>-0.80137585188053828</v>
      </c>
      <c r="DS245" s="409"/>
      <c r="DT245" s="409"/>
      <c r="DU245" s="409"/>
      <c r="DV245" s="409">
        <v>178.36675827184061</v>
      </c>
      <c r="DW245" s="409">
        <v>0</v>
      </c>
      <c r="DX245" s="409">
        <v>0</v>
      </c>
      <c r="DY245" s="409">
        <v>-38.09729999999999</v>
      </c>
      <c r="DZ245" s="409">
        <v>3.6801000000000101</v>
      </c>
      <c r="EA245" s="409">
        <v>0</v>
      </c>
      <c r="EB245" s="409">
        <v>0</v>
      </c>
      <c r="EC245" s="409">
        <v>-40.885855190409131</v>
      </c>
      <c r="ED245" s="409">
        <v>0</v>
      </c>
      <c r="EE245" s="409">
        <v>0</v>
      </c>
      <c r="EF245" s="409">
        <v>0</v>
      </c>
      <c r="EG245" s="409">
        <v>0</v>
      </c>
      <c r="EH245" s="409">
        <v>0</v>
      </c>
      <c r="EI245" s="409">
        <v>0</v>
      </c>
      <c r="EJ245" s="409">
        <v>0</v>
      </c>
      <c r="EK245" s="409">
        <v>0</v>
      </c>
      <c r="EL245" s="409">
        <v>0</v>
      </c>
      <c r="EM245" s="409">
        <v>0</v>
      </c>
      <c r="EN245" s="409">
        <v>0</v>
      </c>
      <c r="EO245" s="409">
        <v>0</v>
      </c>
      <c r="EP245" s="409">
        <v>0</v>
      </c>
      <c r="EQ245" s="409">
        <v>0</v>
      </c>
      <c r="ER245" s="409">
        <v>0</v>
      </c>
      <c r="ES245" s="409">
        <v>0</v>
      </c>
      <c r="ET245" s="409">
        <v>0</v>
      </c>
      <c r="EU245" s="409">
        <v>0</v>
      </c>
      <c r="EV245" s="409">
        <v>254</v>
      </c>
      <c r="EW245" s="409">
        <v>0</v>
      </c>
      <c r="EX245" s="409">
        <v>0</v>
      </c>
      <c r="EY245" s="409">
        <v>0</v>
      </c>
      <c r="EZ245" s="409"/>
      <c r="FA245" s="409">
        <v>0</v>
      </c>
      <c r="FB245" s="409"/>
      <c r="FC245" s="409"/>
      <c r="FD245" s="409"/>
      <c r="FE245" s="409"/>
      <c r="FF245" s="409">
        <v>0</v>
      </c>
      <c r="FG245" s="409">
        <v>0</v>
      </c>
      <c r="FH245" s="409">
        <v>0</v>
      </c>
      <c r="FI245" s="409">
        <v>0</v>
      </c>
    </row>
    <row r="246" spans="1:165">
      <c r="A246" s="409">
        <v>244</v>
      </c>
      <c r="B246" s="409" t="s">
        <v>1035</v>
      </c>
      <c r="C246" s="409" t="s">
        <v>2251</v>
      </c>
      <c r="D246" s="409" t="s">
        <v>596</v>
      </c>
      <c r="E246" s="409" t="s">
        <v>969</v>
      </c>
      <c r="F246" s="409" t="s">
        <v>1323</v>
      </c>
      <c r="G246" s="409" t="s">
        <v>1323</v>
      </c>
      <c r="H246" s="409" t="s">
        <v>1323</v>
      </c>
      <c r="I246" s="409" t="s">
        <v>972</v>
      </c>
      <c r="J246" s="409" t="s">
        <v>2245</v>
      </c>
      <c r="K246" s="835">
        <v>44562</v>
      </c>
      <c r="L246" s="409">
        <v>0</v>
      </c>
      <c r="M246" s="409">
        <v>0</v>
      </c>
      <c r="N246" s="409">
        <v>0.16</v>
      </c>
      <c r="O246" s="409">
        <v>0.16</v>
      </c>
      <c r="P246" s="409">
        <v>0.16</v>
      </c>
      <c r="Q246" s="409">
        <v>0.16</v>
      </c>
      <c r="R246" s="409"/>
      <c r="S246" s="409">
        <v>2773.91</v>
      </c>
      <c r="T246" s="409">
        <v>243.39</v>
      </c>
      <c r="U246" s="409"/>
      <c r="V246" s="409">
        <v>482.76800000000003</v>
      </c>
      <c r="W246" s="409">
        <v>482.76800000000003</v>
      </c>
      <c r="X246" s="409">
        <v>415.57920000000001</v>
      </c>
      <c r="Y246" s="409">
        <v>0</v>
      </c>
      <c r="Z246" s="409">
        <v>3.4637800631555042</v>
      </c>
      <c r="AA246" s="409">
        <v>0</v>
      </c>
      <c r="AB246" s="409">
        <v>0</v>
      </c>
      <c r="AC246" s="409">
        <v>0</v>
      </c>
      <c r="AD246" s="409">
        <v>115.28120308260225</v>
      </c>
      <c r="AE246" s="409">
        <v>320.91930396756322</v>
      </c>
      <c r="AF246" s="409">
        <v>38.941959168201279</v>
      </c>
      <c r="AG246" s="409">
        <v>0</v>
      </c>
      <c r="AH246" s="409">
        <v>0</v>
      </c>
      <c r="AI246" s="409">
        <v>0</v>
      </c>
      <c r="AJ246" s="409">
        <v>0</v>
      </c>
      <c r="AK246" s="409">
        <v>0</v>
      </c>
      <c r="AL246" s="409">
        <v>1.6254545320660798</v>
      </c>
      <c r="AM246" s="409"/>
      <c r="AN246" s="409">
        <v>0.11098856340724575</v>
      </c>
      <c r="AO246" s="409">
        <v>0</v>
      </c>
      <c r="AP246" s="409">
        <v>0</v>
      </c>
      <c r="AQ246" s="409">
        <v>0</v>
      </c>
      <c r="AR246" s="409">
        <v>0</v>
      </c>
      <c r="AS246" s="409">
        <v>0</v>
      </c>
      <c r="AT246" s="409">
        <v>0</v>
      </c>
      <c r="AU246" s="409">
        <v>0</v>
      </c>
      <c r="AV246" s="409">
        <v>0</v>
      </c>
      <c r="AW246" s="409">
        <v>0</v>
      </c>
      <c r="AX246" s="409">
        <v>0</v>
      </c>
      <c r="AY246" s="409">
        <v>0</v>
      </c>
      <c r="AZ246" s="409">
        <v>0</v>
      </c>
      <c r="BA246" s="409"/>
      <c r="BB246" s="409">
        <v>0</v>
      </c>
      <c r="BC246" s="409">
        <v>0</v>
      </c>
      <c r="BD246" s="409">
        <v>0</v>
      </c>
      <c r="BE246" s="409">
        <v>0</v>
      </c>
      <c r="BF246" s="409">
        <v>0</v>
      </c>
      <c r="BG246" s="409">
        <v>2.4254606289817282</v>
      </c>
      <c r="BH246" s="409">
        <v>0</v>
      </c>
      <c r="BI246" s="409">
        <v>0</v>
      </c>
      <c r="BJ246" s="409">
        <v>0</v>
      </c>
      <c r="BK246" s="409">
        <v>0</v>
      </c>
      <c r="BL246" s="409">
        <v>0</v>
      </c>
      <c r="BM246" s="409"/>
      <c r="BN246" s="409"/>
      <c r="BO246" s="409"/>
      <c r="BP246" s="409"/>
      <c r="BQ246" s="409"/>
      <c r="BR246" s="409"/>
      <c r="BS246" s="409"/>
      <c r="BT246" s="409"/>
      <c r="BU246" s="409"/>
      <c r="BV246" s="409">
        <v>41.367419797183004</v>
      </c>
      <c r="BW246" s="409"/>
      <c r="BX246" s="409"/>
      <c r="BY246" s="409"/>
      <c r="BZ246" s="409"/>
      <c r="CA246" s="409"/>
      <c r="CB246" s="409"/>
      <c r="CC246" s="409"/>
      <c r="CD246" s="409"/>
      <c r="CE246" s="409"/>
      <c r="CF246" s="409"/>
      <c r="CG246" s="409"/>
      <c r="CH246" s="409"/>
      <c r="CI246" s="409">
        <v>415.57920000000001</v>
      </c>
      <c r="CJ246" s="409">
        <v>-67.218799999999987</v>
      </c>
      <c r="CK246" s="409"/>
      <c r="CL246" s="409"/>
      <c r="CM246" s="409"/>
      <c r="CN246" s="409"/>
      <c r="CO246" s="409">
        <v>-68.542399999999986</v>
      </c>
      <c r="CP246" s="409">
        <v>1.3536000000000012</v>
      </c>
      <c r="CQ246" s="409">
        <v>31</v>
      </c>
      <c r="CR246" s="409">
        <v>6.373045639351659</v>
      </c>
      <c r="CS246" s="409">
        <v>0</v>
      </c>
      <c r="CT246" s="409">
        <v>0</v>
      </c>
      <c r="CU246" s="409">
        <v>0</v>
      </c>
      <c r="CV246" s="409">
        <v>0</v>
      </c>
      <c r="CW246" s="409">
        <v>0</v>
      </c>
      <c r="CX246" s="409">
        <v>0</v>
      </c>
      <c r="CY246" s="409">
        <v>0</v>
      </c>
      <c r="CZ246" s="409">
        <v>4.3219635748107237</v>
      </c>
      <c r="DA246" s="409">
        <v>0</v>
      </c>
      <c r="DB246" s="409">
        <v>0</v>
      </c>
      <c r="DC246" s="409">
        <v>1.7839275182595173</v>
      </c>
      <c r="DD246" s="409">
        <v>0</v>
      </c>
      <c r="DE246" s="409">
        <v>0</v>
      </c>
      <c r="DF246" s="409">
        <v>0</v>
      </c>
      <c r="DG246" s="409">
        <v>0.11111012524580799</v>
      </c>
      <c r="DH246" s="409">
        <v>0</v>
      </c>
      <c r="DI246" s="409">
        <v>-2.5260934847616046E-2</v>
      </c>
      <c r="DJ246" s="409"/>
      <c r="DK246" s="409">
        <v>0</v>
      </c>
      <c r="DL246" s="409">
        <v>0</v>
      </c>
      <c r="DM246" s="409">
        <v>0</v>
      </c>
      <c r="DN246" s="409">
        <v>0</v>
      </c>
      <c r="DO246" s="409">
        <v>-9.117096801471769E-3</v>
      </c>
      <c r="DP246" s="409">
        <v>-6.5375977322246204E-3</v>
      </c>
      <c r="DQ246" s="409">
        <v>0</v>
      </c>
      <c r="DR246" s="409">
        <v>0.19696005041691683</v>
      </c>
      <c r="DS246" s="409"/>
      <c r="DT246" s="409"/>
      <c r="DU246" s="409"/>
      <c r="DV246" s="409">
        <v>320.91930396756322</v>
      </c>
      <c r="DW246" s="409">
        <v>0</v>
      </c>
      <c r="DX246" s="409">
        <v>0</v>
      </c>
      <c r="DY246" s="409">
        <v>-68.542399999999986</v>
      </c>
      <c r="DZ246" s="409">
        <v>1.3536000000000001</v>
      </c>
      <c r="EA246" s="409">
        <v>0</v>
      </c>
      <c r="EB246" s="409">
        <v>0</v>
      </c>
      <c r="EC246" s="409">
        <v>-73.562250707204811</v>
      </c>
      <c r="ED246" s="409">
        <v>0</v>
      </c>
      <c r="EE246" s="409">
        <v>0</v>
      </c>
      <c r="EF246" s="409">
        <v>0</v>
      </c>
      <c r="EG246" s="409">
        <v>0</v>
      </c>
      <c r="EH246" s="409">
        <v>0</v>
      </c>
      <c r="EI246" s="409">
        <v>0</v>
      </c>
      <c r="EJ246" s="409">
        <v>0</v>
      </c>
      <c r="EK246" s="409">
        <v>0</v>
      </c>
      <c r="EL246" s="409">
        <v>0</v>
      </c>
      <c r="EM246" s="409">
        <v>0</v>
      </c>
      <c r="EN246" s="409">
        <v>0</v>
      </c>
      <c r="EO246" s="409">
        <v>0</v>
      </c>
      <c r="EP246" s="409">
        <v>0</v>
      </c>
      <c r="EQ246" s="409">
        <v>0</v>
      </c>
      <c r="ER246" s="409">
        <v>0</v>
      </c>
      <c r="ES246" s="409">
        <v>0</v>
      </c>
      <c r="ET246" s="409">
        <v>0</v>
      </c>
      <c r="EU246" s="409">
        <v>0</v>
      </c>
      <c r="EV246" s="409">
        <v>254</v>
      </c>
      <c r="EW246" s="409">
        <v>0</v>
      </c>
      <c r="EX246" s="409">
        <v>0</v>
      </c>
      <c r="EY246" s="409">
        <v>0</v>
      </c>
      <c r="EZ246" s="409"/>
      <c r="FA246" s="409">
        <v>0</v>
      </c>
      <c r="FB246" s="409"/>
      <c r="FC246" s="409"/>
      <c r="FD246" s="409"/>
      <c r="FE246" s="409"/>
      <c r="FF246" s="409">
        <v>0</v>
      </c>
      <c r="FG246" s="409">
        <v>0</v>
      </c>
      <c r="FH246" s="409">
        <v>0</v>
      </c>
      <c r="FI246" s="409">
        <v>0</v>
      </c>
    </row>
    <row r="247" spans="1:165">
      <c r="A247" s="409">
        <v>245</v>
      </c>
      <c r="B247" s="409" t="s">
        <v>1035</v>
      </c>
      <c r="C247" s="409" t="s">
        <v>2251</v>
      </c>
      <c r="D247" s="409" t="s">
        <v>596</v>
      </c>
      <c r="E247" s="409" t="s">
        <v>969</v>
      </c>
      <c r="F247" s="409" t="s">
        <v>1323</v>
      </c>
      <c r="G247" s="409" t="s">
        <v>1323</v>
      </c>
      <c r="H247" s="409" t="s">
        <v>1323</v>
      </c>
      <c r="I247" s="409" t="s">
        <v>2237</v>
      </c>
      <c r="J247" s="409" t="s">
        <v>2245</v>
      </c>
      <c r="K247" s="835">
        <v>44562</v>
      </c>
      <c r="L247" s="409">
        <v>0</v>
      </c>
      <c r="M247" s="409">
        <v>0</v>
      </c>
      <c r="N247" s="409">
        <v>23.591000000000001</v>
      </c>
      <c r="O247" s="409">
        <v>23.591000000000001</v>
      </c>
      <c r="P247" s="409">
        <v>23.591000000000001</v>
      </c>
      <c r="Q247" s="409">
        <v>23.591000000000001</v>
      </c>
      <c r="R247" s="409"/>
      <c r="S247" s="409">
        <v>47.66</v>
      </c>
      <c r="T247" s="409">
        <v>243.39</v>
      </c>
      <c r="U247" s="409"/>
      <c r="V247" s="409">
        <v>6866.1605499999996</v>
      </c>
      <c r="W247" s="409">
        <v>6866.1605499999996</v>
      </c>
      <c r="X247" s="409">
        <v>7077.7718199999999</v>
      </c>
      <c r="Y247" s="409">
        <v>0</v>
      </c>
      <c r="Z247" s="409">
        <v>510.71272168688438</v>
      </c>
      <c r="AA247" s="409">
        <v>0</v>
      </c>
      <c r="AB247" s="409">
        <v>0</v>
      </c>
      <c r="AC247" s="409">
        <v>0</v>
      </c>
      <c r="AD247" s="409">
        <v>0</v>
      </c>
      <c r="AE247" s="409">
        <v>0</v>
      </c>
      <c r="AF247" s="409">
        <v>5741.7484921064779</v>
      </c>
      <c r="AG247" s="409">
        <v>0</v>
      </c>
      <c r="AH247" s="409">
        <v>0</v>
      </c>
      <c r="AI247" s="409">
        <v>0</v>
      </c>
      <c r="AJ247" s="409">
        <v>0</v>
      </c>
      <c r="AK247" s="409">
        <v>0</v>
      </c>
      <c r="AL247" s="409">
        <v>239.66311166231807</v>
      </c>
      <c r="AM247" s="409"/>
      <c r="AN247" s="409">
        <v>16.36456999587709</v>
      </c>
      <c r="AO247" s="409">
        <v>0</v>
      </c>
      <c r="AP247" s="409">
        <v>0</v>
      </c>
      <c r="AQ247" s="409">
        <v>0</v>
      </c>
      <c r="AR247" s="409">
        <v>0</v>
      </c>
      <c r="AS247" s="409">
        <v>0</v>
      </c>
      <c r="AT247" s="409">
        <v>0</v>
      </c>
      <c r="AU247" s="409">
        <v>0</v>
      </c>
      <c r="AV247" s="409">
        <v>0</v>
      </c>
      <c r="AW247" s="409">
        <v>0</v>
      </c>
      <c r="AX247" s="409">
        <v>0</v>
      </c>
      <c r="AY247" s="409">
        <v>0</v>
      </c>
      <c r="AZ247" s="409">
        <v>0</v>
      </c>
      <c r="BA247" s="409"/>
      <c r="BB247" s="409">
        <v>0</v>
      </c>
      <c r="BC247" s="409">
        <v>0</v>
      </c>
      <c r="BD247" s="409">
        <v>0</v>
      </c>
      <c r="BE247" s="409">
        <v>0</v>
      </c>
      <c r="BF247" s="409">
        <v>0</v>
      </c>
      <c r="BG247" s="409">
        <v>357.61901061442467</v>
      </c>
      <c r="BH247" s="409">
        <v>0</v>
      </c>
      <c r="BI247" s="409">
        <v>0</v>
      </c>
      <c r="BJ247" s="409">
        <v>0</v>
      </c>
      <c r="BK247" s="409">
        <v>0</v>
      </c>
      <c r="BL247" s="409">
        <v>0</v>
      </c>
      <c r="BM247" s="409"/>
      <c r="BN247" s="409"/>
      <c r="BO247" s="409"/>
      <c r="BP247" s="409"/>
      <c r="BQ247" s="409"/>
      <c r="BR247" s="409"/>
      <c r="BS247" s="409"/>
      <c r="BT247" s="409"/>
      <c r="BU247" s="409"/>
      <c r="BV247" s="409">
        <v>6099.3675027209028</v>
      </c>
      <c r="BW247" s="409"/>
      <c r="BX247" s="409"/>
      <c r="BY247" s="409"/>
      <c r="BZ247" s="409"/>
      <c r="CA247" s="409"/>
      <c r="CB247" s="409"/>
      <c r="CC247" s="409"/>
      <c r="CD247" s="409"/>
      <c r="CE247" s="409"/>
      <c r="CF247" s="409"/>
      <c r="CG247" s="409"/>
      <c r="CH247" s="409"/>
      <c r="CI247" s="409">
        <v>7077.4717999999993</v>
      </c>
      <c r="CJ247" s="409">
        <v>211.28125</v>
      </c>
      <c r="CK247" s="409"/>
      <c r="CL247" s="409"/>
      <c r="CM247" s="409"/>
      <c r="CN247" s="409"/>
      <c r="CO247" s="409">
        <v>12.031410000000122</v>
      </c>
      <c r="CP247" s="409">
        <v>199.5798600000002</v>
      </c>
      <c r="CQ247" s="409">
        <v>31</v>
      </c>
      <c r="CR247" s="409">
        <v>211.62263138232083</v>
      </c>
      <c r="CS247" s="409">
        <v>0</v>
      </c>
      <c r="CT247" s="409">
        <v>0</v>
      </c>
      <c r="CU247" s="409">
        <v>0</v>
      </c>
      <c r="CV247" s="409">
        <v>0</v>
      </c>
      <c r="CW247" s="409">
        <v>0</v>
      </c>
      <c r="CX247" s="409">
        <v>0</v>
      </c>
      <c r="CY247" s="409">
        <v>0</v>
      </c>
      <c r="CZ247" s="409">
        <v>0</v>
      </c>
      <c r="DA247" s="409">
        <v>0</v>
      </c>
      <c r="DB247" s="409">
        <v>0</v>
      </c>
      <c r="DC247" s="409">
        <v>263.02896302037698</v>
      </c>
      <c r="DD247" s="409">
        <v>0</v>
      </c>
      <c r="DE247" s="409">
        <v>0</v>
      </c>
      <c r="DF247" s="409">
        <v>0</v>
      </c>
      <c r="DG247" s="409">
        <v>16.382493529211615</v>
      </c>
      <c r="DH247" s="409">
        <v>0</v>
      </c>
      <c r="DI247" s="409">
        <v>-3.724566962438189</v>
      </c>
      <c r="DJ247" s="409"/>
      <c r="DK247" s="409">
        <v>0</v>
      </c>
      <c r="DL247" s="409">
        <v>0</v>
      </c>
      <c r="DM247" s="409">
        <v>0</v>
      </c>
      <c r="DN247" s="409">
        <v>0</v>
      </c>
      <c r="DO247" s="409">
        <v>-1.3442589415220425</v>
      </c>
      <c r="DP247" s="409">
        <v>-0.96392792563069385</v>
      </c>
      <c r="DQ247" s="409">
        <v>0</v>
      </c>
      <c r="DR247" s="409">
        <v>-61.756071337675849</v>
      </c>
      <c r="DS247" s="409"/>
      <c r="DT247" s="409"/>
      <c r="DU247" s="409"/>
      <c r="DV247" s="409">
        <v>0</v>
      </c>
      <c r="DW247" s="409">
        <v>0</v>
      </c>
      <c r="DX247" s="409">
        <v>0</v>
      </c>
      <c r="DY247" s="409">
        <v>12.031410000000051</v>
      </c>
      <c r="DZ247" s="409">
        <v>199.57986000000074</v>
      </c>
      <c r="EA247" s="409">
        <v>0</v>
      </c>
      <c r="EB247" s="409">
        <v>0</v>
      </c>
      <c r="EC247" s="409">
        <v>0</v>
      </c>
      <c r="ED247" s="409">
        <v>0</v>
      </c>
      <c r="EE247" s="409">
        <v>0</v>
      </c>
      <c r="EF247" s="409">
        <v>0</v>
      </c>
      <c r="EG247" s="409">
        <v>0</v>
      </c>
      <c r="EH247" s="409">
        <v>0</v>
      </c>
      <c r="EI247" s="409">
        <v>0</v>
      </c>
      <c r="EJ247" s="409">
        <v>0</v>
      </c>
      <c r="EK247" s="409">
        <v>0</v>
      </c>
      <c r="EL247" s="409">
        <v>0</v>
      </c>
      <c r="EM247" s="409">
        <v>0</v>
      </c>
      <c r="EN247" s="409">
        <v>0</v>
      </c>
      <c r="EO247" s="409">
        <v>0</v>
      </c>
      <c r="EP247" s="409">
        <v>0</v>
      </c>
      <c r="EQ247" s="409">
        <v>0</v>
      </c>
      <c r="ER247" s="409">
        <v>0</v>
      </c>
      <c r="ES247" s="409">
        <v>0</v>
      </c>
      <c r="ET247" s="409">
        <v>0</v>
      </c>
      <c r="EU247" s="409">
        <v>0</v>
      </c>
      <c r="EV247" s="409">
        <v>254</v>
      </c>
      <c r="EW247" s="409">
        <v>0</v>
      </c>
      <c r="EX247" s="409">
        <v>0</v>
      </c>
      <c r="EY247" s="409">
        <v>0</v>
      </c>
      <c r="EZ247" s="409"/>
      <c r="FA247" s="409">
        <v>0</v>
      </c>
      <c r="FB247" s="409"/>
      <c r="FC247" s="409"/>
      <c r="FD247" s="409"/>
      <c r="FE247" s="409"/>
      <c r="FF247" s="409">
        <v>0</v>
      </c>
      <c r="FG247" s="409">
        <v>0</v>
      </c>
      <c r="FH247" s="409">
        <v>0</v>
      </c>
      <c r="FI247" s="409">
        <v>0</v>
      </c>
    </row>
    <row r="248" spans="1:165">
      <c r="A248" s="409">
        <v>246</v>
      </c>
      <c r="B248" s="409" t="s">
        <v>1035</v>
      </c>
      <c r="C248" s="409" t="s">
        <v>2251</v>
      </c>
      <c r="D248" s="409" t="s">
        <v>596</v>
      </c>
      <c r="E248" s="409" t="s">
        <v>969</v>
      </c>
      <c r="F248" s="409" t="s">
        <v>1323</v>
      </c>
      <c r="G248" s="409" t="s">
        <v>1323</v>
      </c>
      <c r="H248" s="409" t="s">
        <v>1323</v>
      </c>
      <c r="I248" s="409" t="s">
        <v>1323</v>
      </c>
      <c r="J248" s="409" t="s">
        <v>2245</v>
      </c>
      <c r="K248" s="835">
        <v>44562</v>
      </c>
      <c r="L248" s="409">
        <v>120</v>
      </c>
      <c r="M248" s="409">
        <v>120</v>
      </c>
      <c r="N248" s="409">
        <v>0</v>
      </c>
      <c r="O248" s="409">
        <v>0</v>
      </c>
      <c r="P248" s="409">
        <v>0</v>
      </c>
      <c r="Q248" s="409">
        <v>0</v>
      </c>
      <c r="R248" s="409">
        <v>50.27</v>
      </c>
      <c r="S248" s="409"/>
      <c r="T248" s="409"/>
      <c r="U248" s="409">
        <v>6032.4000000000005</v>
      </c>
      <c r="V248" s="409"/>
      <c r="W248" s="409">
        <v>6032.4000000000005</v>
      </c>
      <c r="X248" s="409">
        <v>5424</v>
      </c>
      <c r="Y248" s="409">
        <v>0</v>
      </c>
      <c r="Z248" s="409">
        <v>0</v>
      </c>
      <c r="AA248" s="409">
        <v>0</v>
      </c>
      <c r="AB248" s="409">
        <v>0</v>
      </c>
      <c r="AC248" s="409">
        <v>0</v>
      </c>
      <c r="AD248" s="409">
        <v>2875.1919811512239</v>
      </c>
      <c r="AE248" s="409">
        <v>3156.6615245067596</v>
      </c>
      <c r="AF248" s="409"/>
      <c r="AG248" s="409"/>
      <c r="AH248" s="409"/>
      <c r="AI248" s="409">
        <v>0</v>
      </c>
      <c r="AJ248" s="409">
        <v>0</v>
      </c>
      <c r="AK248" s="409">
        <v>0</v>
      </c>
      <c r="AL248" s="409">
        <v>0</v>
      </c>
      <c r="AM248" s="409"/>
      <c r="AN248" s="409">
        <v>0</v>
      </c>
      <c r="AO248" s="409">
        <v>0</v>
      </c>
      <c r="AP248" s="409">
        <v>0</v>
      </c>
      <c r="AQ248" s="409">
        <v>0</v>
      </c>
      <c r="AR248" s="409">
        <v>0</v>
      </c>
      <c r="AS248" s="409"/>
      <c r="AT248" s="409"/>
      <c r="AU248" s="409">
        <v>0</v>
      </c>
      <c r="AV248" s="409">
        <v>0</v>
      </c>
      <c r="AW248" s="409">
        <v>0</v>
      </c>
      <c r="AX248" s="409"/>
      <c r="AY248" s="409"/>
      <c r="AZ248" s="409">
        <v>0</v>
      </c>
      <c r="BA248" s="409"/>
      <c r="BB248" s="409">
        <v>0</v>
      </c>
      <c r="BC248" s="409">
        <v>0</v>
      </c>
      <c r="BD248" s="409">
        <v>0</v>
      </c>
      <c r="BE248" s="409">
        <v>0</v>
      </c>
      <c r="BF248" s="409"/>
      <c r="BG248" s="409">
        <v>0</v>
      </c>
      <c r="BH248" s="409">
        <v>0</v>
      </c>
      <c r="BI248" s="409">
        <v>0</v>
      </c>
      <c r="BJ248" s="409">
        <v>0</v>
      </c>
      <c r="BK248" s="409">
        <v>0</v>
      </c>
      <c r="BL248" s="409">
        <v>1</v>
      </c>
      <c r="BM248" s="409"/>
      <c r="BN248" s="409"/>
      <c r="BO248" s="409"/>
      <c r="BP248" s="409"/>
      <c r="BQ248" s="409"/>
      <c r="BR248" s="409"/>
      <c r="BS248" s="409"/>
      <c r="BT248" s="409"/>
      <c r="BU248" s="409"/>
      <c r="BV248" s="409">
        <v>0</v>
      </c>
      <c r="BW248" s="409"/>
      <c r="BX248" s="409"/>
      <c r="BY248" s="409"/>
      <c r="BZ248" s="409"/>
      <c r="CA248" s="409"/>
      <c r="CB248" s="409"/>
      <c r="CC248" s="409"/>
      <c r="CD248" s="409"/>
      <c r="CE248" s="409"/>
      <c r="CF248" s="409"/>
      <c r="CG248" s="409"/>
      <c r="CH248" s="409"/>
      <c r="CI248" s="409">
        <v>5424</v>
      </c>
      <c r="CJ248" s="409">
        <v>-608.4300000000012</v>
      </c>
      <c r="CK248" s="409"/>
      <c r="CL248" s="409"/>
      <c r="CM248" s="409"/>
      <c r="CN248" s="409"/>
      <c r="CO248" s="409">
        <v>-608.40000000000009</v>
      </c>
      <c r="CP248" s="409">
        <v>0</v>
      </c>
      <c r="CQ248" s="409">
        <v>31</v>
      </c>
      <c r="CR248" s="409">
        <v>116.30817949722041</v>
      </c>
      <c r="CS248" s="409">
        <v>0</v>
      </c>
      <c r="CT248" s="409">
        <v>0</v>
      </c>
      <c r="CU248" s="409">
        <v>0</v>
      </c>
      <c r="CV248" s="409">
        <v>0</v>
      </c>
      <c r="CW248" s="409"/>
      <c r="CX248" s="409"/>
      <c r="CY248" s="409"/>
      <c r="CZ248" s="409">
        <v>107.79272492689233</v>
      </c>
      <c r="DA248" s="409">
        <v>0</v>
      </c>
      <c r="DB248" s="409">
        <v>0</v>
      </c>
      <c r="DC248" s="409"/>
      <c r="DD248" s="409"/>
      <c r="DE248" s="409">
        <v>0</v>
      </c>
      <c r="DF248" s="409">
        <v>0</v>
      </c>
      <c r="DG248" s="409">
        <v>0</v>
      </c>
      <c r="DH248" s="409">
        <v>0</v>
      </c>
      <c r="DI248" s="409">
        <v>0</v>
      </c>
      <c r="DJ248" s="409"/>
      <c r="DK248" s="409">
        <v>0</v>
      </c>
      <c r="DL248" s="409">
        <v>0</v>
      </c>
      <c r="DM248" s="409"/>
      <c r="DN248" s="409">
        <v>0</v>
      </c>
      <c r="DO248" s="409">
        <v>0</v>
      </c>
      <c r="DP248" s="409">
        <v>0</v>
      </c>
      <c r="DQ248" s="409">
        <v>0</v>
      </c>
      <c r="DR248" s="409">
        <v>8.5154545703282878</v>
      </c>
      <c r="DS248" s="409"/>
      <c r="DT248" s="409"/>
      <c r="DU248" s="409">
        <v>3156.6615245067596</v>
      </c>
      <c r="DV248" s="409"/>
      <c r="DW248" s="409">
        <v>0</v>
      </c>
      <c r="DX248" s="409">
        <v>0</v>
      </c>
      <c r="DY248" s="409">
        <v>-608.40000000000055</v>
      </c>
      <c r="DZ248" s="409"/>
      <c r="EA248" s="409">
        <v>0</v>
      </c>
      <c r="EB248" s="409"/>
      <c r="EC248" s="409">
        <v>-723.58104854615976</v>
      </c>
      <c r="ED248" s="409"/>
      <c r="EE248" s="409">
        <v>0</v>
      </c>
      <c r="EF248" s="409">
        <v>0</v>
      </c>
      <c r="EG248" s="409"/>
      <c r="EH248" s="409">
        <v>0</v>
      </c>
      <c r="EI248" s="409">
        <v>0</v>
      </c>
      <c r="EJ248" s="409">
        <v>0</v>
      </c>
      <c r="EK248" s="409">
        <v>0</v>
      </c>
      <c r="EL248" s="409">
        <v>0</v>
      </c>
      <c r="EM248" s="409"/>
      <c r="EN248" s="409"/>
      <c r="EO248" s="409">
        <v>0</v>
      </c>
      <c r="EP248" s="409">
        <v>0</v>
      </c>
      <c r="EQ248" s="409"/>
      <c r="ER248" s="409">
        <v>0</v>
      </c>
      <c r="ES248" s="409"/>
      <c r="ET248" s="409">
        <v>0</v>
      </c>
      <c r="EU248" s="409"/>
      <c r="EV248" s="409">
        <v>254</v>
      </c>
      <c r="EW248" s="409"/>
      <c r="EX248" s="409"/>
      <c r="EY248" s="409"/>
      <c r="EZ248" s="409"/>
      <c r="FA248" s="409">
        <v>0</v>
      </c>
      <c r="FB248" s="409"/>
      <c r="FC248" s="409"/>
      <c r="FD248" s="409"/>
      <c r="FE248" s="409"/>
      <c r="FF248" s="409">
        <v>0</v>
      </c>
      <c r="FG248" s="409">
        <v>0</v>
      </c>
      <c r="FH248" s="409">
        <v>0</v>
      </c>
      <c r="FI248" s="409">
        <v>0</v>
      </c>
    </row>
    <row r="249" spans="1:165">
      <c r="A249" s="409">
        <v>247</v>
      </c>
      <c r="B249" s="409" t="s">
        <v>1035</v>
      </c>
      <c r="C249" s="409" t="s">
        <v>2244</v>
      </c>
      <c r="D249" s="409" t="s">
        <v>1994</v>
      </c>
      <c r="E249" s="409" t="s">
        <v>997</v>
      </c>
      <c r="F249" s="409" t="s">
        <v>1323</v>
      </c>
      <c r="G249" s="409" t="s">
        <v>1323</v>
      </c>
      <c r="H249" s="409" t="s">
        <v>1323</v>
      </c>
      <c r="I249" s="409" t="s">
        <v>1323</v>
      </c>
      <c r="J249" s="409" t="s">
        <v>2245</v>
      </c>
      <c r="K249" s="835">
        <v>44562</v>
      </c>
      <c r="L249" s="409">
        <v>0</v>
      </c>
      <c r="M249" s="409">
        <v>0</v>
      </c>
      <c r="N249" s="409">
        <v>66.722999999999999</v>
      </c>
      <c r="O249" s="409">
        <v>66.722999999999999</v>
      </c>
      <c r="P249" s="409">
        <v>66.722999999999999</v>
      </c>
      <c r="Q249" s="409">
        <v>66.722999999999999</v>
      </c>
      <c r="R249" s="409"/>
      <c r="S249" s="409">
        <v>597.01</v>
      </c>
      <c r="T249" s="409">
        <v>243.39</v>
      </c>
      <c r="U249" s="409"/>
      <c r="V249" s="409">
        <v>56074.0092</v>
      </c>
      <c r="W249" s="409">
        <v>56074.0092</v>
      </c>
      <c r="X249" s="409">
        <v>50794.885439999998</v>
      </c>
      <c r="Y249" s="409">
        <v>0</v>
      </c>
      <c r="Z249" s="409">
        <v>1660.3002669103794</v>
      </c>
      <c r="AA249" s="409">
        <v>0</v>
      </c>
      <c r="AB249" s="409">
        <v>0</v>
      </c>
      <c r="AC249" s="409">
        <v>0</v>
      </c>
      <c r="AD249" s="409">
        <v>7819.2060246822848</v>
      </c>
      <c r="AE249" s="409">
        <v>27359.000487751771</v>
      </c>
      <c r="AF249" s="409">
        <v>16239.527134874337</v>
      </c>
      <c r="AG249" s="409">
        <v>0</v>
      </c>
      <c r="AH249" s="409">
        <v>0</v>
      </c>
      <c r="AI249" s="409">
        <v>0</v>
      </c>
      <c r="AJ249" s="409">
        <v>0</v>
      </c>
      <c r="AK249" s="409">
        <v>0</v>
      </c>
      <c r="AL249" s="409">
        <v>677.84501714403154</v>
      </c>
      <c r="AM249" s="409"/>
      <c r="AN249" s="409">
        <v>114.55481176714885</v>
      </c>
      <c r="AO249" s="409">
        <v>0</v>
      </c>
      <c r="AP249" s="409">
        <v>0</v>
      </c>
      <c r="AQ249" s="409">
        <v>0</v>
      </c>
      <c r="AR249" s="409">
        <v>0</v>
      </c>
      <c r="AS249" s="409">
        <v>0</v>
      </c>
      <c r="AT249" s="409">
        <v>0</v>
      </c>
      <c r="AU249" s="409">
        <v>0</v>
      </c>
      <c r="AV249" s="409">
        <v>0</v>
      </c>
      <c r="AW249" s="409">
        <v>0</v>
      </c>
      <c r="AX249" s="409">
        <v>0</v>
      </c>
      <c r="AY249" s="409">
        <v>0</v>
      </c>
      <c r="AZ249" s="409">
        <v>0</v>
      </c>
      <c r="BA249" s="409"/>
      <c r="BB249" s="409">
        <v>0</v>
      </c>
      <c r="BC249" s="409">
        <v>0</v>
      </c>
      <c r="BD249" s="409">
        <v>0</v>
      </c>
      <c r="BE249" s="409">
        <v>0</v>
      </c>
      <c r="BF249" s="409">
        <v>0</v>
      </c>
      <c r="BG249" s="409">
        <v>2203.1487114293291</v>
      </c>
      <c r="BH249" s="409">
        <v>0</v>
      </c>
      <c r="BI249" s="409">
        <v>84.12</v>
      </c>
      <c r="BJ249" s="409">
        <v>388.4</v>
      </c>
      <c r="BK249" s="409">
        <v>4766.72</v>
      </c>
      <c r="BL249" s="409">
        <v>208</v>
      </c>
      <c r="BM249" s="409"/>
      <c r="BN249" s="409"/>
      <c r="BO249" s="409"/>
      <c r="BP249" s="409"/>
      <c r="BQ249" s="409"/>
      <c r="BR249" s="409"/>
      <c r="BS249" s="409"/>
      <c r="BT249" s="409"/>
      <c r="BU249" s="409"/>
      <c r="BV249" s="409">
        <v>18442.675846303668</v>
      </c>
      <c r="BW249" s="409"/>
      <c r="BX249" s="409"/>
      <c r="BY249" s="409"/>
      <c r="BZ249" s="409"/>
      <c r="CA249" s="409"/>
      <c r="CB249" s="409"/>
      <c r="CC249" s="409"/>
      <c r="CD249" s="409"/>
      <c r="CE249" s="409"/>
      <c r="CF249" s="409"/>
      <c r="CG249" s="409"/>
      <c r="CH249" s="409"/>
      <c r="CI249" s="409">
        <v>50792.601600000002</v>
      </c>
      <c r="CJ249" s="409">
        <v>-5281.4376000000047</v>
      </c>
      <c r="CK249" s="409"/>
      <c r="CL249" s="409"/>
      <c r="CM249" s="409"/>
      <c r="CN249" s="409"/>
      <c r="CO249" s="409">
        <v>-5843.6003399999991</v>
      </c>
      <c r="CP249" s="409">
        <v>564.47658000000047</v>
      </c>
      <c r="CQ249" s="409">
        <v>31</v>
      </c>
      <c r="CR249" s="409">
        <v>992.42609275311042</v>
      </c>
      <c r="CS249" s="409">
        <v>0</v>
      </c>
      <c r="CT249" s="409">
        <v>0</v>
      </c>
      <c r="CU249" s="409">
        <v>0</v>
      </c>
      <c r="CV249" s="409">
        <v>0</v>
      </c>
      <c r="CW249" s="409">
        <v>0</v>
      </c>
      <c r="CX249" s="409">
        <v>0</v>
      </c>
      <c r="CY249" s="409">
        <v>0</v>
      </c>
      <c r="CZ249" s="409">
        <v>293.14686799725314</v>
      </c>
      <c r="DA249" s="409">
        <v>0</v>
      </c>
      <c r="DB249" s="409">
        <v>0</v>
      </c>
      <c r="DC249" s="409">
        <v>743.93122375518578</v>
      </c>
      <c r="DD249" s="409">
        <v>0</v>
      </c>
      <c r="DE249" s="409">
        <v>0</v>
      </c>
      <c r="DF249" s="409">
        <v>0</v>
      </c>
      <c r="DG249" s="409">
        <v>100.92603703272152</v>
      </c>
      <c r="DH249" s="409">
        <v>0</v>
      </c>
      <c r="DI249" s="409">
        <v>-12.108371809177925</v>
      </c>
      <c r="DJ249" s="409"/>
      <c r="DK249" s="409">
        <v>0</v>
      </c>
      <c r="DL249" s="409">
        <v>0</v>
      </c>
      <c r="DM249" s="409">
        <v>0</v>
      </c>
      <c r="DN249" s="409">
        <v>0</v>
      </c>
      <c r="DO249" s="409">
        <v>-3.8020003117788974</v>
      </c>
      <c r="DP249" s="409">
        <v>-6.7476616926409037</v>
      </c>
      <c r="DQ249" s="409">
        <v>0</v>
      </c>
      <c r="DR249" s="409">
        <v>-122.92000221844864</v>
      </c>
      <c r="DS249" s="409"/>
      <c r="DT249" s="409"/>
      <c r="DU249" s="409"/>
      <c r="DV249" s="409">
        <v>27359.000487751771</v>
      </c>
      <c r="DW249" s="409">
        <v>0</v>
      </c>
      <c r="DX249" s="409">
        <v>0</v>
      </c>
      <c r="DY249" s="409">
        <v>-5843.6003399999972</v>
      </c>
      <c r="DZ249" s="409">
        <v>564.47658000000047</v>
      </c>
      <c r="EA249" s="409">
        <v>0</v>
      </c>
      <c r="EB249" s="409">
        <v>0</v>
      </c>
      <c r="EC249" s="409">
        <v>-6271.3262433785494</v>
      </c>
      <c r="ED249" s="409">
        <v>0</v>
      </c>
      <c r="EE249" s="409">
        <v>0</v>
      </c>
      <c r="EF249" s="409">
        <v>0</v>
      </c>
      <c r="EG249" s="409">
        <v>0</v>
      </c>
      <c r="EH249" s="409">
        <v>0</v>
      </c>
      <c r="EI249" s="409">
        <v>0</v>
      </c>
      <c r="EJ249" s="409">
        <v>0</v>
      </c>
      <c r="EK249" s="409">
        <v>0</v>
      </c>
      <c r="EL249" s="409">
        <v>0</v>
      </c>
      <c r="EM249" s="409">
        <v>0</v>
      </c>
      <c r="EN249" s="409">
        <v>0</v>
      </c>
      <c r="EO249" s="409">
        <v>0</v>
      </c>
      <c r="EP249" s="409">
        <v>0</v>
      </c>
      <c r="EQ249" s="409">
        <v>0</v>
      </c>
      <c r="ER249" s="409">
        <v>0</v>
      </c>
      <c r="ES249" s="409">
        <v>0</v>
      </c>
      <c r="ET249" s="409">
        <v>0</v>
      </c>
      <c r="EU249" s="409">
        <v>0</v>
      </c>
      <c r="EV249" s="409">
        <v>254</v>
      </c>
      <c r="EW249" s="409">
        <v>0</v>
      </c>
      <c r="EX249" s="409">
        <v>0</v>
      </c>
      <c r="EY249" s="409">
        <v>0</v>
      </c>
      <c r="EZ249" s="409"/>
      <c r="FA249" s="409">
        <v>0</v>
      </c>
      <c r="FB249" s="409"/>
      <c r="FC249" s="409"/>
      <c r="FD249" s="409"/>
      <c r="FE249" s="409"/>
      <c r="FF249" s="409">
        <v>0</v>
      </c>
      <c r="FG249" s="409">
        <v>0</v>
      </c>
      <c r="FH249" s="409">
        <v>0</v>
      </c>
      <c r="FI249" s="409">
        <v>0</v>
      </c>
    </row>
    <row r="250" spans="1:165">
      <c r="A250" s="409">
        <v>248</v>
      </c>
      <c r="B250" s="409" t="s">
        <v>2246</v>
      </c>
      <c r="C250" s="409" t="s">
        <v>2244</v>
      </c>
      <c r="D250" s="409" t="s">
        <v>1994</v>
      </c>
      <c r="E250" s="409" t="s">
        <v>997</v>
      </c>
      <c r="F250" s="409" t="s">
        <v>1323</v>
      </c>
      <c r="G250" s="409" t="s">
        <v>1323</v>
      </c>
      <c r="H250" s="409" t="s">
        <v>1323</v>
      </c>
      <c r="I250" s="409" t="s">
        <v>1323</v>
      </c>
      <c r="J250" s="409" t="s">
        <v>2245</v>
      </c>
      <c r="K250" s="835">
        <v>44562</v>
      </c>
      <c r="L250" s="409">
        <v>0</v>
      </c>
      <c r="M250" s="409">
        <v>0</v>
      </c>
      <c r="N250" s="409">
        <v>9.18</v>
      </c>
      <c r="O250" s="409">
        <v>9.18</v>
      </c>
      <c r="P250" s="409">
        <v>9.18</v>
      </c>
      <c r="Q250" s="409">
        <v>9.18</v>
      </c>
      <c r="R250" s="409"/>
      <c r="S250" s="409">
        <v>597.01</v>
      </c>
      <c r="T250" s="409">
        <v>243.39</v>
      </c>
      <c r="U250" s="409"/>
      <c r="V250" s="409">
        <v>7714.8719999999994</v>
      </c>
      <c r="W250" s="409">
        <v>7714.8719999999994</v>
      </c>
      <c r="X250" s="409">
        <v>6988.5504000000001</v>
      </c>
      <c r="Y250" s="409">
        <v>0</v>
      </c>
      <c r="Z250" s="409">
        <v>228.43032313051395</v>
      </c>
      <c r="AA250" s="409">
        <v>0</v>
      </c>
      <c r="AB250" s="409">
        <v>0</v>
      </c>
      <c r="AC250" s="409">
        <v>0</v>
      </c>
      <c r="AD250" s="409">
        <v>1075.7956222979089</v>
      </c>
      <c r="AE250" s="409">
        <v>3764.153657322981</v>
      </c>
      <c r="AF250" s="409">
        <v>2234.2949072755482</v>
      </c>
      <c r="AG250" s="409">
        <v>0</v>
      </c>
      <c r="AH250" s="409">
        <v>0</v>
      </c>
      <c r="AI250" s="409">
        <v>0</v>
      </c>
      <c r="AJ250" s="409">
        <v>0</v>
      </c>
      <c r="AK250" s="409">
        <v>0</v>
      </c>
      <c r="AL250" s="409">
        <v>93.260453777291332</v>
      </c>
      <c r="AM250" s="409"/>
      <c r="AN250" s="409">
        <v>15.760879637043095</v>
      </c>
      <c r="AO250" s="409">
        <v>0</v>
      </c>
      <c r="AP250" s="409">
        <v>0</v>
      </c>
      <c r="AQ250" s="409">
        <v>0</v>
      </c>
      <c r="AR250" s="409">
        <v>0</v>
      </c>
      <c r="AS250" s="409">
        <v>0</v>
      </c>
      <c r="AT250" s="409">
        <v>0</v>
      </c>
      <c r="AU250" s="409">
        <v>0</v>
      </c>
      <c r="AV250" s="409">
        <v>0</v>
      </c>
      <c r="AW250" s="409">
        <v>0</v>
      </c>
      <c r="AX250" s="409">
        <v>0</v>
      </c>
      <c r="AY250" s="409">
        <v>0</v>
      </c>
      <c r="AZ250" s="409">
        <v>0</v>
      </c>
      <c r="BA250" s="409"/>
      <c r="BB250" s="409">
        <v>0</v>
      </c>
      <c r="BC250" s="409">
        <v>0</v>
      </c>
      <c r="BD250" s="409">
        <v>0</v>
      </c>
      <c r="BE250" s="409">
        <v>0</v>
      </c>
      <c r="BF250" s="409">
        <v>0</v>
      </c>
      <c r="BG250" s="409">
        <v>303.11744332420966</v>
      </c>
      <c r="BH250" s="409">
        <v>0</v>
      </c>
      <c r="BI250" s="409">
        <v>0</v>
      </c>
      <c r="BJ250" s="409">
        <v>0</v>
      </c>
      <c r="BK250" s="409">
        <v>0</v>
      </c>
      <c r="BL250" s="409">
        <v>6</v>
      </c>
      <c r="BM250" s="409"/>
      <c r="BN250" s="409"/>
      <c r="BO250" s="409"/>
      <c r="BP250" s="409"/>
      <c r="BQ250" s="409"/>
      <c r="BR250" s="409"/>
      <c r="BS250" s="409"/>
      <c r="BT250" s="409"/>
      <c r="BU250" s="409"/>
      <c r="BV250" s="409">
        <v>2537.4123505997577</v>
      </c>
      <c r="BW250" s="409"/>
      <c r="BX250" s="409"/>
      <c r="BY250" s="409"/>
      <c r="BZ250" s="409"/>
      <c r="CA250" s="409"/>
      <c r="CB250" s="409"/>
      <c r="CC250" s="409"/>
      <c r="CD250" s="409"/>
      <c r="CE250" s="409"/>
      <c r="CF250" s="409"/>
      <c r="CG250" s="409"/>
      <c r="CH250" s="409"/>
      <c r="CI250" s="409">
        <v>6988.5504000000001</v>
      </c>
      <c r="CJ250" s="409">
        <v>-726.35159999999996</v>
      </c>
      <c r="CK250" s="409"/>
      <c r="CL250" s="409"/>
      <c r="CM250" s="409"/>
      <c r="CN250" s="409"/>
      <c r="CO250" s="409">
        <v>-803.98439999999982</v>
      </c>
      <c r="CP250" s="409">
        <v>77.662800000000075</v>
      </c>
      <c r="CQ250" s="409">
        <v>31</v>
      </c>
      <c r="CR250" s="409">
        <v>136.54169523962628</v>
      </c>
      <c r="CS250" s="409">
        <v>0</v>
      </c>
      <c r="CT250" s="409">
        <v>0</v>
      </c>
      <c r="CU250" s="409">
        <v>0</v>
      </c>
      <c r="CV250" s="409">
        <v>0</v>
      </c>
      <c r="CW250" s="409">
        <v>0</v>
      </c>
      <c r="CX250" s="409">
        <v>0</v>
      </c>
      <c r="CY250" s="409">
        <v>0</v>
      </c>
      <c r="CZ250" s="409">
        <v>40.332242977905253</v>
      </c>
      <c r="DA250" s="409">
        <v>0</v>
      </c>
      <c r="DB250" s="409">
        <v>0</v>
      </c>
      <c r="DC250" s="409">
        <v>102.35284136014025</v>
      </c>
      <c r="DD250" s="409">
        <v>0</v>
      </c>
      <c r="DE250" s="409">
        <v>0</v>
      </c>
      <c r="DF250" s="409">
        <v>0</v>
      </c>
      <c r="DG250" s="409">
        <v>13.885781813773121</v>
      </c>
      <c r="DH250" s="409">
        <v>0</v>
      </c>
      <c r="DI250" s="409">
        <v>-1.6659150998644066</v>
      </c>
      <c r="DJ250" s="409"/>
      <c r="DK250" s="409">
        <v>0</v>
      </c>
      <c r="DL250" s="409">
        <v>0</v>
      </c>
      <c r="DM250" s="409">
        <v>0</v>
      </c>
      <c r="DN250" s="409">
        <v>0</v>
      </c>
      <c r="DO250" s="409">
        <v>-0.52309342898445266</v>
      </c>
      <c r="DP250" s="409">
        <v>-0.92836854365726218</v>
      </c>
      <c r="DQ250" s="409">
        <v>0</v>
      </c>
      <c r="DR250" s="409">
        <v>-16.911793839685842</v>
      </c>
      <c r="DS250" s="409"/>
      <c r="DT250" s="409"/>
      <c r="DU250" s="409"/>
      <c r="DV250" s="409">
        <v>3764.153657322981</v>
      </c>
      <c r="DW250" s="409">
        <v>0</v>
      </c>
      <c r="DX250" s="409">
        <v>0</v>
      </c>
      <c r="DY250" s="409">
        <v>-803.98440000000028</v>
      </c>
      <c r="DZ250" s="409">
        <v>77.662800000000061</v>
      </c>
      <c r="EA250" s="409">
        <v>0</v>
      </c>
      <c r="EB250" s="409">
        <v>0</v>
      </c>
      <c r="EC250" s="409">
        <v>-862.83253022518556</v>
      </c>
      <c r="ED250" s="409">
        <v>0</v>
      </c>
      <c r="EE250" s="409">
        <v>0</v>
      </c>
      <c r="EF250" s="409">
        <v>0</v>
      </c>
      <c r="EG250" s="409">
        <v>0</v>
      </c>
      <c r="EH250" s="409">
        <v>0</v>
      </c>
      <c r="EI250" s="409">
        <v>0</v>
      </c>
      <c r="EJ250" s="409">
        <v>0</v>
      </c>
      <c r="EK250" s="409">
        <v>0</v>
      </c>
      <c r="EL250" s="409">
        <v>0</v>
      </c>
      <c r="EM250" s="409">
        <v>0</v>
      </c>
      <c r="EN250" s="409">
        <v>0</v>
      </c>
      <c r="EO250" s="409">
        <v>0</v>
      </c>
      <c r="EP250" s="409">
        <v>0</v>
      </c>
      <c r="EQ250" s="409">
        <v>0</v>
      </c>
      <c r="ER250" s="409">
        <v>0</v>
      </c>
      <c r="ES250" s="409">
        <v>0</v>
      </c>
      <c r="ET250" s="409">
        <v>0</v>
      </c>
      <c r="EU250" s="409">
        <v>0</v>
      </c>
      <c r="EV250" s="409">
        <v>254</v>
      </c>
      <c r="EW250" s="409">
        <v>0</v>
      </c>
      <c r="EX250" s="409">
        <v>0</v>
      </c>
      <c r="EY250" s="409">
        <v>0</v>
      </c>
      <c r="EZ250" s="409"/>
      <c r="FA250" s="409">
        <v>0</v>
      </c>
      <c r="FB250" s="409"/>
      <c r="FC250" s="409"/>
      <c r="FD250" s="409"/>
      <c r="FE250" s="409"/>
      <c r="FF250" s="409">
        <v>0</v>
      </c>
      <c r="FG250" s="409">
        <v>0</v>
      </c>
      <c r="FH250" s="409">
        <v>0</v>
      </c>
      <c r="FI250" s="409">
        <v>0</v>
      </c>
    </row>
    <row r="251" spans="1:165">
      <c r="A251" s="409">
        <v>249</v>
      </c>
      <c r="B251" s="409" t="s">
        <v>1035</v>
      </c>
      <c r="C251" s="409" t="s">
        <v>2252</v>
      </c>
      <c r="D251" s="409" t="s">
        <v>1994</v>
      </c>
      <c r="E251" s="409" t="s">
        <v>997</v>
      </c>
      <c r="F251" s="409" t="s">
        <v>1323</v>
      </c>
      <c r="G251" s="409" t="s">
        <v>1323</v>
      </c>
      <c r="H251" s="409" t="s">
        <v>1323</v>
      </c>
      <c r="I251" s="409" t="s">
        <v>972</v>
      </c>
      <c r="J251" s="409" t="s">
        <v>2245</v>
      </c>
      <c r="K251" s="835">
        <v>44562</v>
      </c>
      <c r="L251" s="409">
        <v>0</v>
      </c>
      <c r="M251" s="409">
        <v>0</v>
      </c>
      <c r="N251" s="409">
        <v>7.0000000000000001E-3</v>
      </c>
      <c r="O251" s="409">
        <v>7.0000000000000001E-3</v>
      </c>
      <c r="P251" s="409">
        <v>7.0000000000000001E-3</v>
      </c>
      <c r="Q251" s="409">
        <v>7.0000000000000001E-3</v>
      </c>
      <c r="R251" s="409"/>
      <c r="S251" s="409">
        <v>1783.27</v>
      </c>
      <c r="T251" s="409">
        <v>243.39</v>
      </c>
      <c r="U251" s="409"/>
      <c r="V251" s="409">
        <v>14.18662</v>
      </c>
      <c r="W251" s="409">
        <v>14.18662</v>
      </c>
      <c r="X251" s="409">
        <v>12.23334</v>
      </c>
      <c r="Y251" s="409">
        <v>0</v>
      </c>
      <c r="Z251" s="409">
        <v>0.17418434225638321</v>
      </c>
      <c r="AA251" s="409">
        <v>0</v>
      </c>
      <c r="AB251" s="409">
        <v>0</v>
      </c>
      <c r="AC251" s="409">
        <v>0</v>
      </c>
      <c r="AD251" s="409">
        <v>2.6660526592276153</v>
      </c>
      <c r="AE251" s="409">
        <v>9.3283802122784003</v>
      </c>
      <c r="AF251" s="409">
        <v>1.7037107136088059</v>
      </c>
      <c r="AG251" s="409">
        <v>0</v>
      </c>
      <c r="AH251" s="409">
        <v>0</v>
      </c>
      <c r="AI251" s="409">
        <v>0</v>
      </c>
      <c r="AJ251" s="409">
        <v>0</v>
      </c>
      <c r="AK251" s="409">
        <v>0</v>
      </c>
      <c r="AL251" s="409">
        <v>7.1113635777890996E-2</v>
      </c>
      <c r="AM251" s="409"/>
      <c r="AN251" s="409">
        <v>1.20180999411004E-2</v>
      </c>
      <c r="AO251" s="409">
        <v>0</v>
      </c>
      <c r="AP251" s="409">
        <v>0</v>
      </c>
      <c r="AQ251" s="409">
        <v>0</v>
      </c>
      <c r="AR251" s="409">
        <v>0</v>
      </c>
      <c r="AS251" s="409">
        <v>0</v>
      </c>
      <c r="AT251" s="409">
        <v>0</v>
      </c>
      <c r="AU251" s="409">
        <v>0</v>
      </c>
      <c r="AV251" s="409">
        <v>0</v>
      </c>
      <c r="AW251" s="409">
        <v>0</v>
      </c>
      <c r="AX251" s="409">
        <v>0</v>
      </c>
      <c r="AY251" s="409">
        <v>0</v>
      </c>
      <c r="AZ251" s="409">
        <v>0</v>
      </c>
      <c r="BA251" s="409"/>
      <c r="BB251" s="409">
        <v>0</v>
      </c>
      <c r="BC251" s="409">
        <v>0</v>
      </c>
      <c r="BD251" s="409">
        <v>0</v>
      </c>
      <c r="BE251" s="409">
        <v>0</v>
      </c>
      <c r="BF251" s="409">
        <v>0</v>
      </c>
      <c r="BG251" s="409">
        <v>0.23113530536704438</v>
      </c>
      <c r="BH251" s="409">
        <v>0</v>
      </c>
      <c r="BI251" s="409">
        <v>0</v>
      </c>
      <c r="BJ251" s="409">
        <v>0</v>
      </c>
      <c r="BK251" s="409">
        <v>0</v>
      </c>
      <c r="BL251" s="409">
        <v>0</v>
      </c>
      <c r="BM251" s="409"/>
      <c r="BN251" s="409"/>
      <c r="BO251" s="409"/>
      <c r="BP251" s="409"/>
      <c r="BQ251" s="409"/>
      <c r="BR251" s="409"/>
      <c r="BS251" s="409"/>
      <c r="BT251" s="409"/>
      <c r="BU251" s="409"/>
      <c r="BV251" s="409">
        <v>1.9348460189758503</v>
      </c>
      <c r="BW251" s="409"/>
      <c r="BX251" s="409"/>
      <c r="BY251" s="409"/>
      <c r="BZ251" s="409"/>
      <c r="CA251" s="409"/>
      <c r="CB251" s="409"/>
      <c r="CC251" s="409"/>
      <c r="CD251" s="409"/>
      <c r="CE251" s="409"/>
      <c r="CF251" s="409"/>
      <c r="CG251" s="409"/>
      <c r="CH251" s="409"/>
      <c r="CI251" s="409">
        <v>17.476200000000002</v>
      </c>
      <c r="CJ251" s="409">
        <v>3.2595800000000033</v>
      </c>
      <c r="CK251" s="409"/>
      <c r="CL251" s="409"/>
      <c r="CM251" s="409"/>
      <c r="CN251" s="409"/>
      <c r="CO251" s="409">
        <v>-2.0125000000000002</v>
      </c>
      <c r="CP251" s="409">
        <v>5.9220000000000057E-2</v>
      </c>
      <c r="CQ251" s="409">
        <v>31</v>
      </c>
      <c r="CR251" s="409">
        <v>0.1850372155123976</v>
      </c>
      <c r="CS251" s="409">
        <v>0</v>
      </c>
      <c r="CT251" s="409">
        <v>0</v>
      </c>
      <c r="CU251" s="409">
        <v>0</v>
      </c>
      <c r="CV251" s="409">
        <v>0</v>
      </c>
      <c r="CW251" s="409">
        <v>0</v>
      </c>
      <c r="CX251" s="409">
        <v>0</v>
      </c>
      <c r="CY251" s="409">
        <v>0</v>
      </c>
      <c r="CZ251" s="409">
        <v>9.9951962450045784E-2</v>
      </c>
      <c r="DA251" s="409">
        <v>0</v>
      </c>
      <c r="DB251" s="409">
        <v>0</v>
      </c>
      <c r="DC251" s="409">
        <v>7.8046828923854061E-2</v>
      </c>
      <c r="DD251" s="409">
        <v>0</v>
      </c>
      <c r="DE251" s="409">
        <v>0</v>
      </c>
      <c r="DF251" s="409">
        <v>0</v>
      </c>
      <c r="DG251" s="409">
        <v>1.0588286786101547E-2</v>
      </c>
      <c r="DH251" s="409">
        <v>0</v>
      </c>
      <c r="DI251" s="409">
        <v>-1.27030563170491E-3</v>
      </c>
      <c r="DJ251" s="409"/>
      <c r="DK251" s="409">
        <v>0</v>
      </c>
      <c r="DL251" s="409">
        <v>0</v>
      </c>
      <c r="DM251" s="409">
        <v>0</v>
      </c>
      <c r="DN251" s="409">
        <v>0</v>
      </c>
      <c r="DO251" s="409">
        <v>-3.9887298506439961E-4</v>
      </c>
      <c r="DP251" s="409">
        <v>-7.0790629690640865E-4</v>
      </c>
      <c r="DQ251" s="409">
        <v>0</v>
      </c>
      <c r="DR251" s="409">
        <v>-1.172777733928921E-3</v>
      </c>
      <c r="DS251" s="409"/>
      <c r="DT251" s="409"/>
      <c r="DU251" s="409"/>
      <c r="DV251" s="409">
        <v>9.3283802122784003</v>
      </c>
      <c r="DW251" s="409">
        <v>0</v>
      </c>
      <c r="DX251" s="409">
        <v>0</v>
      </c>
      <c r="DY251" s="409">
        <v>-2.0124999999999993</v>
      </c>
      <c r="DZ251" s="409">
        <v>5.922000000000005E-2</v>
      </c>
      <c r="EA251" s="409">
        <v>0</v>
      </c>
      <c r="EB251" s="409">
        <v>0</v>
      </c>
      <c r="EC251" s="409">
        <v>-2.1382840962945702</v>
      </c>
      <c r="ED251" s="409">
        <v>0</v>
      </c>
      <c r="EE251" s="409">
        <v>0</v>
      </c>
      <c r="EF251" s="409">
        <v>0</v>
      </c>
      <c r="EG251" s="409">
        <v>0</v>
      </c>
      <c r="EH251" s="409">
        <v>0</v>
      </c>
      <c r="EI251" s="409">
        <v>0</v>
      </c>
      <c r="EJ251" s="409">
        <v>0</v>
      </c>
      <c r="EK251" s="409">
        <v>0</v>
      </c>
      <c r="EL251" s="409">
        <v>0</v>
      </c>
      <c r="EM251" s="409">
        <v>0</v>
      </c>
      <c r="EN251" s="409">
        <v>0</v>
      </c>
      <c r="EO251" s="409">
        <v>0</v>
      </c>
      <c r="EP251" s="409">
        <v>0</v>
      </c>
      <c r="EQ251" s="409">
        <v>0</v>
      </c>
      <c r="ER251" s="409">
        <v>0</v>
      </c>
      <c r="ES251" s="409">
        <v>0</v>
      </c>
      <c r="ET251" s="409">
        <v>0</v>
      </c>
      <c r="EU251" s="409">
        <v>0</v>
      </c>
      <c r="EV251" s="409">
        <v>254</v>
      </c>
      <c r="EW251" s="409">
        <v>0</v>
      </c>
      <c r="EX251" s="409">
        <v>0</v>
      </c>
      <c r="EY251" s="409">
        <v>0</v>
      </c>
      <c r="EZ251" s="409"/>
      <c r="FA251" s="409">
        <v>0</v>
      </c>
      <c r="FB251" s="409"/>
      <c r="FC251" s="409"/>
      <c r="FD251" s="409"/>
      <c r="FE251" s="409"/>
      <c r="FF251" s="409">
        <v>0</v>
      </c>
      <c r="FG251" s="409">
        <v>0</v>
      </c>
      <c r="FH251" s="409">
        <v>0</v>
      </c>
      <c r="FI251" s="409">
        <v>0</v>
      </c>
    </row>
    <row r="252" spans="1:165">
      <c r="A252" s="409">
        <v>250</v>
      </c>
      <c r="B252" s="409" t="s">
        <v>1035</v>
      </c>
      <c r="C252" s="409" t="s">
        <v>2252</v>
      </c>
      <c r="D252" s="409" t="s">
        <v>1994</v>
      </c>
      <c r="E252" s="409" t="s">
        <v>997</v>
      </c>
      <c r="F252" s="409" t="s">
        <v>1323</v>
      </c>
      <c r="G252" s="409" t="s">
        <v>1323</v>
      </c>
      <c r="H252" s="409" t="s">
        <v>1323</v>
      </c>
      <c r="I252" s="409" t="s">
        <v>2237</v>
      </c>
      <c r="J252" s="409" t="s">
        <v>2245</v>
      </c>
      <c r="K252" s="835">
        <v>44562</v>
      </c>
      <c r="L252" s="409">
        <v>0</v>
      </c>
      <c r="M252" s="409">
        <v>0</v>
      </c>
      <c r="N252" s="409">
        <v>0.39500000000000002</v>
      </c>
      <c r="O252" s="409">
        <v>0.39500000000000002</v>
      </c>
      <c r="P252" s="409">
        <v>0.39500000000000002</v>
      </c>
      <c r="Q252" s="409">
        <v>0.39500000000000002</v>
      </c>
      <c r="R252" s="409"/>
      <c r="S252" s="409">
        <v>412.48</v>
      </c>
      <c r="T252" s="409">
        <v>243.39</v>
      </c>
      <c r="U252" s="409"/>
      <c r="V252" s="409">
        <v>259.06865000000005</v>
      </c>
      <c r="W252" s="409">
        <v>259.06865000000005</v>
      </c>
      <c r="X252" s="409">
        <v>240.10075000000001</v>
      </c>
      <c r="Y252" s="409">
        <v>0</v>
      </c>
      <c r="Z252" s="409">
        <v>9.828973598753052</v>
      </c>
      <c r="AA252" s="409">
        <v>0</v>
      </c>
      <c r="AB252" s="409">
        <v>0</v>
      </c>
      <c r="AC252" s="409">
        <v>0</v>
      </c>
      <c r="AD252" s="409">
        <v>30.088783636794279</v>
      </c>
      <c r="AE252" s="409">
        <v>105.27747826750834</v>
      </c>
      <c r="AF252" s="409">
        <v>96.137961696496916</v>
      </c>
      <c r="AG252" s="409">
        <v>0</v>
      </c>
      <c r="AH252" s="409">
        <v>0</v>
      </c>
      <c r="AI252" s="409">
        <v>0</v>
      </c>
      <c r="AJ252" s="409">
        <v>0</v>
      </c>
      <c r="AK252" s="409">
        <v>0</v>
      </c>
      <c r="AL252" s="409">
        <v>4.0128408760381351</v>
      </c>
      <c r="AM252" s="409"/>
      <c r="AN252" s="409">
        <v>0.67816421096209401</v>
      </c>
      <c r="AO252" s="409">
        <v>0</v>
      </c>
      <c r="AP252" s="409">
        <v>0</v>
      </c>
      <c r="AQ252" s="409">
        <v>0</v>
      </c>
      <c r="AR252" s="409">
        <v>0</v>
      </c>
      <c r="AS252" s="409">
        <v>0</v>
      </c>
      <c r="AT252" s="409">
        <v>0</v>
      </c>
      <c r="AU252" s="409">
        <v>0</v>
      </c>
      <c r="AV252" s="409">
        <v>0</v>
      </c>
      <c r="AW252" s="409">
        <v>0</v>
      </c>
      <c r="AX252" s="409">
        <v>0</v>
      </c>
      <c r="AY252" s="409">
        <v>0</v>
      </c>
      <c r="AZ252" s="409">
        <v>0</v>
      </c>
      <c r="BA252" s="409"/>
      <c r="BB252" s="409">
        <v>0</v>
      </c>
      <c r="BC252" s="409">
        <v>0</v>
      </c>
      <c r="BD252" s="409">
        <v>0</v>
      </c>
      <c r="BE252" s="409">
        <v>0</v>
      </c>
      <c r="BF252" s="409">
        <v>0</v>
      </c>
      <c r="BG252" s="409">
        <v>13.042635088568934</v>
      </c>
      <c r="BH252" s="409">
        <v>0</v>
      </c>
      <c r="BI252" s="409">
        <v>0</v>
      </c>
      <c r="BJ252" s="409">
        <v>0</v>
      </c>
      <c r="BK252" s="409">
        <v>0</v>
      </c>
      <c r="BL252" s="409">
        <v>0</v>
      </c>
      <c r="BM252" s="409"/>
      <c r="BN252" s="409"/>
      <c r="BO252" s="409"/>
      <c r="BP252" s="409"/>
      <c r="BQ252" s="409"/>
      <c r="BR252" s="409"/>
      <c r="BS252" s="409"/>
      <c r="BT252" s="409"/>
      <c r="BU252" s="409"/>
      <c r="BV252" s="409">
        <v>109.18059678506584</v>
      </c>
      <c r="BW252" s="409"/>
      <c r="BX252" s="409"/>
      <c r="BY252" s="409"/>
      <c r="BZ252" s="409"/>
      <c r="CA252" s="409"/>
      <c r="CB252" s="409"/>
      <c r="CC252" s="409"/>
      <c r="CD252" s="409"/>
      <c r="CE252" s="409"/>
      <c r="CF252" s="409"/>
      <c r="CG252" s="409"/>
      <c r="CH252" s="409"/>
      <c r="CI252" s="409">
        <v>243.14000000000001</v>
      </c>
      <c r="CJ252" s="409">
        <v>-15.958650000000006</v>
      </c>
      <c r="CK252" s="409"/>
      <c r="CL252" s="409"/>
      <c r="CM252" s="409"/>
      <c r="CN252" s="409"/>
      <c r="CO252" s="409">
        <v>-22.309600000000007</v>
      </c>
      <c r="CP252" s="409">
        <v>3.3417000000000034</v>
      </c>
      <c r="CQ252" s="409">
        <v>31</v>
      </c>
      <c r="CR252" s="409">
        <v>5.1648780786164821</v>
      </c>
      <c r="CS252" s="409">
        <v>0</v>
      </c>
      <c r="CT252" s="409">
        <v>0</v>
      </c>
      <c r="CU252" s="409">
        <v>0</v>
      </c>
      <c r="CV252" s="409">
        <v>0</v>
      </c>
      <c r="CW252" s="409">
        <v>0</v>
      </c>
      <c r="CX252" s="409">
        <v>0</v>
      </c>
      <c r="CY252" s="409">
        <v>0</v>
      </c>
      <c r="CZ252" s="409">
        <v>1.1280471005789572</v>
      </c>
      <c r="DA252" s="409">
        <v>0</v>
      </c>
      <c r="DB252" s="409">
        <v>0</v>
      </c>
      <c r="DC252" s="409">
        <v>4.4040710607031883</v>
      </c>
      <c r="DD252" s="409">
        <v>0</v>
      </c>
      <c r="DE252" s="409">
        <v>0</v>
      </c>
      <c r="DF252" s="409">
        <v>0</v>
      </c>
      <c r="DG252" s="409">
        <v>0.59748189721572942</v>
      </c>
      <c r="DH252" s="409">
        <v>0</v>
      </c>
      <c r="DI252" s="409">
        <v>-7.1681532074775234E-2</v>
      </c>
      <c r="DJ252" s="409"/>
      <c r="DK252" s="409">
        <v>0</v>
      </c>
      <c r="DL252" s="409">
        <v>0</v>
      </c>
      <c r="DM252" s="409">
        <v>0</v>
      </c>
      <c r="DN252" s="409">
        <v>0</v>
      </c>
      <c r="DO252" s="409">
        <v>-2.2507832728634103E-2</v>
      </c>
      <c r="DP252" s="409">
        <v>-3.994614103971883E-2</v>
      </c>
      <c r="DQ252" s="409">
        <v>0</v>
      </c>
      <c r="DR252" s="409">
        <v>-0.83058647403827479</v>
      </c>
      <c r="DS252" s="409"/>
      <c r="DT252" s="409"/>
      <c r="DU252" s="409"/>
      <c r="DV252" s="409">
        <v>105.27747826750834</v>
      </c>
      <c r="DW252" s="409">
        <v>0</v>
      </c>
      <c r="DX252" s="409">
        <v>0</v>
      </c>
      <c r="DY252" s="409">
        <v>-22.309600000000017</v>
      </c>
      <c r="DZ252" s="409">
        <v>3.341700000000003</v>
      </c>
      <c r="EA252" s="409">
        <v>0</v>
      </c>
      <c r="EB252" s="409">
        <v>0</v>
      </c>
      <c r="EC252" s="409">
        <v>-24.132073559898856</v>
      </c>
      <c r="ED252" s="409">
        <v>0</v>
      </c>
      <c r="EE252" s="409">
        <v>0</v>
      </c>
      <c r="EF252" s="409">
        <v>0</v>
      </c>
      <c r="EG252" s="409">
        <v>0</v>
      </c>
      <c r="EH252" s="409">
        <v>0</v>
      </c>
      <c r="EI252" s="409">
        <v>0</v>
      </c>
      <c r="EJ252" s="409">
        <v>0</v>
      </c>
      <c r="EK252" s="409">
        <v>0</v>
      </c>
      <c r="EL252" s="409">
        <v>0</v>
      </c>
      <c r="EM252" s="409">
        <v>0</v>
      </c>
      <c r="EN252" s="409">
        <v>0</v>
      </c>
      <c r="EO252" s="409">
        <v>0</v>
      </c>
      <c r="EP252" s="409">
        <v>0</v>
      </c>
      <c r="EQ252" s="409">
        <v>0</v>
      </c>
      <c r="ER252" s="409">
        <v>0</v>
      </c>
      <c r="ES252" s="409">
        <v>0</v>
      </c>
      <c r="ET252" s="409">
        <v>0</v>
      </c>
      <c r="EU252" s="409">
        <v>0</v>
      </c>
      <c r="EV252" s="409">
        <v>254</v>
      </c>
      <c r="EW252" s="409">
        <v>0</v>
      </c>
      <c r="EX252" s="409">
        <v>0</v>
      </c>
      <c r="EY252" s="409">
        <v>0</v>
      </c>
      <c r="EZ252" s="409"/>
      <c r="FA252" s="409">
        <v>0</v>
      </c>
      <c r="FB252" s="409"/>
      <c r="FC252" s="409"/>
      <c r="FD252" s="409"/>
      <c r="FE252" s="409"/>
      <c r="FF252" s="409">
        <v>0</v>
      </c>
      <c r="FG252" s="409">
        <v>0</v>
      </c>
      <c r="FH252" s="409">
        <v>0</v>
      </c>
      <c r="FI252" s="409">
        <v>0</v>
      </c>
    </row>
    <row r="253" spans="1:165">
      <c r="A253" s="409">
        <v>251</v>
      </c>
      <c r="B253" s="409" t="s">
        <v>1035</v>
      </c>
      <c r="C253" s="409" t="s">
        <v>2252</v>
      </c>
      <c r="D253" s="409" t="s">
        <v>1994</v>
      </c>
      <c r="E253" s="409" t="s">
        <v>997</v>
      </c>
      <c r="F253" s="409" t="s">
        <v>1323</v>
      </c>
      <c r="G253" s="409" t="s">
        <v>1323</v>
      </c>
      <c r="H253" s="409" t="s">
        <v>1323</v>
      </c>
      <c r="I253" s="409" t="s">
        <v>1323</v>
      </c>
      <c r="J253" s="409" t="s">
        <v>2245</v>
      </c>
      <c r="K253" s="835">
        <v>44562</v>
      </c>
      <c r="L253" s="409">
        <v>0</v>
      </c>
      <c r="M253" s="409">
        <v>0</v>
      </c>
      <c r="N253" s="409">
        <v>0</v>
      </c>
      <c r="O253" s="409">
        <v>0</v>
      </c>
      <c r="P253" s="409">
        <v>0</v>
      </c>
      <c r="Q253" s="409">
        <v>0</v>
      </c>
      <c r="R253" s="409"/>
      <c r="S253" s="409"/>
      <c r="T253" s="409"/>
      <c r="U253" s="409"/>
      <c r="V253" s="409"/>
      <c r="W253" s="409"/>
      <c r="X253" s="409"/>
      <c r="Y253" s="409"/>
      <c r="Z253" s="409"/>
      <c r="AA253" s="409">
        <v>0</v>
      </c>
      <c r="AB253" s="409"/>
      <c r="AC253" s="409"/>
      <c r="AD253" s="409"/>
      <c r="AE253" s="409"/>
      <c r="AF253" s="409"/>
      <c r="AG253" s="409"/>
      <c r="AH253" s="409"/>
      <c r="AI253" s="409"/>
      <c r="AJ253" s="409"/>
      <c r="AK253" s="409"/>
      <c r="AL253" s="409"/>
      <c r="AM253" s="409"/>
      <c r="AN253" s="409"/>
      <c r="AO253" s="409"/>
      <c r="AP253" s="409"/>
      <c r="AQ253" s="409"/>
      <c r="AR253" s="409"/>
      <c r="AS253" s="409"/>
      <c r="AT253" s="409"/>
      <c r="AU253" s="409"/>
      <c r="AV253" s="409"/>
      <c r="AW253" s="409"/>
      <c r="AX253" s="409"/>
      <c r="AY253" s="409"/>
      <c r="AZ253" s="409">
        <v>0</v>
      </c>
      <c r="BA253" s="409"/>
      <c r="BB253" s="409"/>
      <c r="BC253" s="409"/>
      <c r="BD253" s="409"/>
      <c r="BE253" s="409"/>
      <c r="BF253" s="409"/>
      <c r="BG253" s="409"/>
      <c r="BH253" s="409"/>
      <c r="BI253" s="409">
        <v>0</v>
      </c>
      <c r="BJ253" s="409">
        <v>0</v>
      </c>
      <c r="BK253" s="409">
        <v>0</v>
      </c>
      <c r="BL253" s="409">
        <v>1</v>
      </c>
      <c r="BM253" s="409"/>
      <c r="BN253" s="409"/>
      <c r="BO253" s="409"/>
      <c r="BP253" s="409"/>
      <c r="BQ253" s="409"/>
      <c r="BR253" s="409"/>
      <c r="BS253" s="409"/>
      <c r="BT253" s="409"/>
      <c r="BU253" s="409"/>
      <c r="BV253" s="409"/>
      <c r="BW253" s="409"/>
      <c r="BX253" s="409"/>
      <c r="BY253" s="409"/>
      <c r="BZ253" s="409"/>
      <c r="CA253" s="409"/>
      <c r="CB253" s="409"/>
      <c r="CC253" s="409"/>
      <c r="CD253" s="409"/>
      <c r="CE253" s="409"/>
      <c r="CF253" s="409"/>
      <c r="CG253" s="409"/>
      <c r="CH253" s="409"/>
      <c r="CI253" s="409"/>
      <c r="CJ253" s="409">
        <v>-0.03</v>
      </c>
      <c r="CK253" s="409"/>
      <c r="CL253" s="409"/>
      <c r="CM253" s="409"/>
      <c r="CN253" s="409"/>
      <c r="CO253" s="409">
        <v>0</v>
      </c>
      <c r="CP253" s="409">
        <v>0</v>
      </c>
      <c r="CQ253" s="409">
        <v>31</v>
      </c>
      <c r="CR253" s="409"/>
      <c r="CS253" s="409"/>
      <c r="CT253" s="409"/>
      <c r="CU253" s="409"/>
      <c r="CV253" s="409"/>
      <c r="CW253" s="409"/>
      <c r="CX253" s="409"/>
      <c r="CY253" s="409"/>
      <c r="CZ253" s="409"/>
      <c r="DA253" s="409"/>
      <c r="DB253" s="409"/>
      <c r="DC253" s="409"/>
      <c r="DD253" s="409"/>
      <c r="DE253" s="409"/>
      <c r="DF253" s="409"/>
      <c r="DG253" s="409"/>
      <c r="DH253" s="409"/>
      <c r="DI253" s="409"/>
      <c r="DJ253" s="409"/>
      <c r="DK253" s="409">
        <v>0</v>
      </c>
      <c r="DL253" s="409"/>
      <c r="DM253" s="409"/>
      <c r="DN253" s="409"/>
      <c r="DO253" s="409"/>
      <c r="DP253" s="409"/>
      <c r="DQ253" s="409"/>
      <c r="DR253" s="409"/>
      <c r="DS253" s="409"/>
      <c r="DT253" s="409"/>
      <c r="DU253" s="409"/>
      <c r="DV253" s="409"/>
      <c r="DW253" s="409"/>
      <c r="DX253" s="409"/>
      <c r="DY253" s="409"/>
      <c r="DZ253" s="409"/>
      <c r="EA253" s="409"/>
      <c r="EB253" s="409"/>
      <c r="EC253" s="409"/>
      <c r="ED253" s="409"/>
      <c r="EE253" s="409"/>
      <c r="EF253" s="409"/>
      <c r="EG253" s="409"/>
      <c r="EH253" s="409"/>
      <c r="EI253" s="409"/>
      <c r="EJ253" s="409"/>
      <c r="EK253" s="409"/>
      <c r="EL253" s="409"/>
      <c r="EM253" s="409"/>
      <c r="EN253" s="409"/>
      <c r="EO253" s="409"/>
      <c r="EP253" s="409"/>
      <c r="EQ253" s="409"/>
      <c r="ER253" s="409"/>
      <c r="ES253" s="409"/>
      <c r="ET253" s="409"/>
      <c r="EU253" s="409"/>
      <c r="EV253" s="409">
        <v>254</v>
      </c>
      <c r="EW253" s="409"/>
      <c r="EX253" s="409"/>
      <c r="EY253" s="409"/>
      <c r="EZ253" s="409"/>
      <c r="FA253" s="409">
        <v>0</v>
      </c>
      <c r="FB253" s="409"/>
      <c r="FC253" s="409"/>
      <c r="FD253" s="409"/>
      <c r="FE253" s="409"/>
      <c r="FF253" s="409">
        <v>0</v>
      </c>
      <c r="FG253" s="409">
        <v>0</v>
      </c>
      <c r="FH253" s="409">
        <v>0</v>
      </c>
      <c r="FI253" s="409">
        <v>0</v>
      </c>
    </row>
    <row r="254" spans="1:165">
      <c r="A254" s="409">
        <v>252</v>
      </c>
      <c r="B254" s="409" t="s">
        <v>1035</v>
      </c>
      <c r="C254" s="409" t="s">
        <v>2252</v>
      </c>
      <c r="D254" s="409" t="s">
        <v>1994</v>
      </c>
      <c r="E254" s="409" t="s">
        <v>997</v>
      </c>
      <c r="F254" s="409" t="s">
        <v>1323</v>
      </c>
      <c r="G254" s="409" t="s">
        <v>1323</v>
      </c>
      <c r="H254" s="409" t="s">
        <v>1323</v>
      </c>
      <c r="I254" s="409" t="s">
        <v>2253</v>
      </c>
      <c r="J254" s="409" t="s">
        <v>2245</v>
      </c>
      <c r="K254" s="835">
        <v>44562</v>
      </c>
      <c r="L254" s="409">
        <v>0</v>
      </c>
      <c r="M254" s="409">
        <v>0</v>
      </c>
      <c r="N254" s="409">
        <v>1.2999999999999999E-2</v>
      </c>
      <c r="O254" s="409">
        <v>1.2999999999999999E-2</v>
      </c>
      <c r="P254" s="409">
        <v>1.2999999999999999E-2</v>
      </c>
      <c r="Q254" s="409">
        <v>1.2999999999999999E-2</v>
      </c>
      <c r="R254" s="409"/>
      <c r="S254" s="409">
        <v>1097.8699999999999</v>
      </c>
      <c r="T254" s="409">
        <v>243.39</v>
      </c>
      <c r="U254" s="409"/>
      <c r="V254" s="409">
        <v>17.436379999999996</v>
      </c>
      <c r="W254" s="409">
        <v>17.436379999999996</v>
      </c>
      <c r="X254" s="409">
        <v>15.310489999999998</v>
      </c>
      <c r="Y254" s="409">
        <v>0</v>
      </c>
      <c r="Z254" s="409">
        <v>0.32348520704756878</v>
      </c>
      <c r="AA254" s="409">
        <v>0</v>
      </c>
      <c r="AB254" s="409">
        <v>0</v>
      </c>
      <c r="AC254" s="409">
        <v>0</v>
      </c>
      <c r="AD254" s="409">
        <v>2.9707672424134768</v>
      </c>
      <c r="AE254" s="409">
        <v>10.394479101497607</v>
      </c>
      <c r="AF254" s="409">
        <v>3.1640341824163536</v>
      </c>
      <c r="AG254" s="409">
        <v>0</v>
      </c>
      <c r="AH254" s="409">
        <v>0</v>
      </c>
      <c r="AI254" s="409">
        <v>0</v>
      </c>
      <c r="AJ254" s="409">
        <v>0</v>
      </c>
      <c r="AK254" s="409">
        <v>0</v>
      </c>
      <c r="AL254" s="409">
        <v>0.13206818073036899</v>
      </c>
      <c r="AM254" s="409"/>
      <c r="AN254" s="409">
        <v>2.2319328462043597E-2</v>
      </c>
      <c r="AO254" s="409">
        <v>0</v>
      </c>
      <c r="AP254" s="409">
        <v>0</v>
      </c>
      <c r="AQ254" s="409">
        <v>0</v>
      </c>
      <c r="AR254" s="409">
        <v>0</v>
      </c>
      <c r="AS254" s="409">
        <v>0</v>
      </c>
      <c r="AT254" s="409">
        <v>0</v>
      </c>
      <c r="AU254" s="409">
        <v>0</v>
      </c>
      <c r="AV254" s="409">
        <v>0</v>
      </c>
      <c r="AW254" s="409">
        <v>0</v>
      </c>
      <c r="AX254" s="409">
        <v>0</v>
      </c>
      <c r="AY254" s="409">
        <v>0</v>
      </c>
      <c r="AZ254" s="409">
        <v>0</v>
      </c>
      <c r="BA254" s="409"/>
      <c r="BB254" s="409">
        <v>0</v>
      </c>
      <c r="BC254" s="409">
        <v>0</v>
      </c>
      <c r="BD254" s="409">
        <v>0</v>
      </c>
      <c r="BE254" s="409">
        <v>0</v>
      </c>
      <c r="BF254" s="409">
        <v>0</v>
      </c>
      <c r="BG254" s="409">
        <v>0.42925128139593954</v>
      </c>
      <c r="BH254" s="409">
        <v>0</v>
      </c>
      <c r="BI254" s="409">
        <v>0</v>
      </c>
      <c r="BJ254" s="409">
        <v>0</v>
      </c>
      <c r="BK254" s="409">
        <v>0</v>
      </c>
      <c r="BL254" s="409">
        <v>0</v>
      </c>
      <c r="BM254" s="409"/>
      <c r="BN254" s="409"/>
      <c r="BO254" s="409"/>
      <c r="BP254" s="409"/>
      <c r="BQ254" s="409"/>
      <c r="BR254" s="409"/>
      <c r="BS254" s="409"/>
      <c r="BT254" s="409"/>
      <c r="BU254" s="409"/>
      <c r="BV254" s="409">
        <v>3.5932854638122933</v>
      </c>
      <c r="BW254" s="409"/>
      <c r="BX254" s="409"/>
      <c r="BY254" s="409"/>
      <c r="BZ254" s="409"/>
      <c r="CA254" s="409"/>
      <c r="CB254" s="409"/>
      <c r="CC254" s="409"/>
      <c r="CD254" s="409"/>
      <c r="CE254" s="409"/>
      <c r="CF254" s="409"/>
      <c r="CG254" s="409"/>
      <c r="CH254" s="409"/>
      <c r="CI254" s="409">
        <v>11.7773</v>
      </c>
      <c r="CJ254" s="409">
        <v>-5.689079999999997</v>
      </c>
      <c r="CK254" s="409"/>
      <c r="CL254" s="409"/>
      <c r="CM254" s="409"/>
      <c r="CN254" s="409"/>
      <c r="CO254" s="409">
        <v>-2.2358699999999985</v>
      </c>
      <c r="CP254" s="409">
        <v>0.10998000000000009</v>
      </c>
      <c r="CQ254" s="409">
        <v>31</v>
      </c>
      <c r="CR254" s="409">
        <v>0.25681251752363554</v>
      </c>
      <c r="CS254" s="409">
        <v>0</v>
      </c>
      <c r="CT254" s="409">
        <v>0</v>
      </c>
      <c r="CU254" s="409">
        <v>0</v>
      </c>
      <c r="CV254" s="409">
        <v>0</v>
      </c>
      <c r="CW254" s="409">
        <v>0</v>
      </c>
      <c r="CX254" s="409">
        <v>0</v>
      </c>
      <c r="CY254" s="409">
        <v>0</v>
      </c>
      <c r="CZ254" s="409">
        <v>0.11137590055988511</v>
      </c>
      <c r="DA254" s="409">
        <v>0</v>
      </c>
      <c r="DB254" s="409">
        <v>0</v>
      </c>
      <c r="DC254" s="409">
        <v>0.14494411085858605</v>
      </c>
      <c r="DD254" s="409">
        <v>0</v>
      </c>
      <c r="DE254" s="409">
        <v>0</v>
      </c>
      <c r="DF254" s="409">
        <v>0</v>
      </c>
      <c r="DG254" s="409">
        <v>1.966396117418856E-2</v>
      </c>
      <c r="DH254" s="409">
        <v>0</v>
      </c>
      <c r="DI254" s="409">
        <v>-2.3591390303090987E-3</v>
      </c>
      <c r="DJ254" s="409"/>
      <c r="DK254" s="409">
        <v>0</v>
      </c>
      <c r="DL254" s="409">
        <v>0</v>
      </c>
      <c r="DM254" s="409">
        <v>0</v>
      </c>
      <c r="DN254" s="409">
        <v>0</v>
      </c>
      <c r="DO254" s="409">
        <v>-7.4076411511961315E-4</v>
      </c>
      <c r="DP254" s="409">
        <v>-1.3146831228261872E-3</v>
      </c>
      <c r="DQ254" s="409">
        <v>0</v>
      </c>
      <c r="DR254" s="409">
        <v>-1.4756868800769551E-2</v>
      </c>
      <c r="DS254" s="409"/>
      <c r="DT254" s="409"/>
      <c r="DU254" s="409"/>
      <c r="DV254" s="409">
        <v>10.394479101497607</v>
      </c>
      <c r="DW254" s="409">
        <v>0</v>
      </c>
      <c r="DX254" s="409">
        <v>0</v>
      </c>
      <c r="DY254" s="409">
        <v>-2.2358699999999985</v>
      </c>
      <c r="DZ254" s="409">
        <v>0.10998000000000019</v>
      </c>
      <c r="EA254" s="409">
        <v>0</v>
      </c>
      <c r="EB254" s="409">
        <v>0</v>
      </c>
      <c r="EC254" s="409">
        <v>-2.3826590304223707</v>
      </c>
      <c r="ED254" s="409">
        <v>0</v>
      </c>
      <c r="EE254" s="409">
        <v>0</v>
      </c>
      <c r="EF254" s="409">
        <v>0</v>
      </c>
      <c r="EG254" s="409">
        <v>0</v>
      </c>
      <c r="EH254" s="409">
        <v>0</v>
      </c>
      <c r="EI254" s="409">
        <v>0</v>
      </c>
      <c r="EJ254" s="409">
        <v>0</v>
      </c>
      <c r="EK254" s="409">
        <v>0</v>
      </c>
      <c r="EL254" s="409">
        <v>0</v>
      </c>
      <c r="EM254" s="409">
        <v>0</v>
      </c>
      <c r="EN254" s="409">
        <v>0</v>
      </c>
      <c r="EO254" s="409">
        <v>0</v>
      </c>
      <c r="EP254" s="409">
        <v>0</v>
      </c>
      <c r="EQ254" s="409">
        <v>0</v>
      </c>
      <c r="ER254" s="409">
        <v>0</v>
      </c>
      <c r="ES254" s="409">
        <v>0</v>
      </c>
      <c r="ET254" s="409">
        <v>0</v>
      </c>
      <c r="EU254" s="409">
        <v>0</v>
      </c>
      <c r="EV254" s="409">
        <v>254</v>
      </c>
      <c r="EW254" s="409">
        <v>0</v>
      </c>
      <c r="EX254" s="409">
        <v>0</v>
      </c>
      <c r="EY254" s="409">
        <v>0</v>
      </c>
      <c r="EZ254" s="409"/>
      <c r="FA254" s="409">
        <v>0</v>
      </c>
      <c r="FB254" s="409"/>
      <c r="FC254" s="409"/>
      <c r="FD254" s="409"/>
      <c r="FE254" s="409"/>
      <c r="FF254" s="409">
        <v>0</v>
      </c>
      <c r="FG254" s="409">
        <v>0</v>
      </c>
      <c r="FH254" s="409">
        <v>0</v>
      </c>
      <c r="FI254" s="409">
        <v>0</v>
      </c>
    </row>
    <row r="255" spans="1:165">
      <c r="A255" s="409">
        <v>253</v>
      </c>
      <c r="B255" s="409" t="s">
        <v>1035</v>
      </c>
      <c r="C255" s="409" t="s">
        <v>2244</v>
      </c>
      <c r="D255" s="409" t="s">
        <v>2254</v>
      </c>
      <c r="E255" s="409" t="s">
        <v>973</v>
      </c>
      <c r="F255" s="409" t="s">
        <v>1323</v>
      </c>
      <c r="G255" s="409" t="s">
        <v>1323</v>
      </c>
      <c r="H255" s="409" t="s">
        <v>1323</v>
      </c>
      <c r="I255" s="409" t="s">
        <v>1323</v>
      </c>
      <c r="J255" s="409" t="s">
        <v>2245</v>
      </c>
      <c r="K255" s="835">
        <v>44562</v>
      </c>
      <c r="L255" s="409">
        <v>0</v>
      </c>
      <c r="M255" s="409">
        <v>0</v>
      </c>
      <c r="N255" s="409">
        <v>196.99100000000001</v>
      </c>
      <c r="O255" s="409">
        <v>196.99100000000001</v>
      </c>
      <c r="P255" s="409">
        <v>196.99100000000001</v>
      </c>
      <c r="Q255" s="409">
        <v>196.99100000000001</v>
      </c>
      <c r="R255" s="409"/>
      <c r="S255" s="409">
        <v>597.01</v>
      </c>
      <c r="T255" s="409">
        <v>243.39</v>
      </c>
      <c r="U255" s="409"/>
      <c r="V255" s="409">
        <v>165551.23639999999</v>
      </c>
      <c r="W255" s="409">
        <v>165551.23639999999</v>
      </c>
      <c r="X255" s="409">
        <v>149965.30848000001</v>
      </c>
      <c r="Y255" s="409">
        <v>0</v>
      </c>
      <c r="Z255" s="409">
        <v>4901.8211093467407</v>
      </c>
      <c r="AA255" s="409">
        <v>0</v>
      </c>
      <c r="AB255" s="409">
        <v>0</v>
      </c>
      <c r="AC255" s="409">
        <v>0</v>
      </c>
      <c r="AD255" s="409">
        <v>23085.191223538932</v>
      </c>
      <c r="AE255" s="409">
        <v>80773.899031558976</v>
      </c>
      <c r="AF255" s="409">
        <v>47945.096740644614</v>
      </c>
      <c r="AG255" s="409">
        <v>0</v>
      </c>
      <c r="AH255" s="409">
        <v>0</v>
      </c>
      <c r="AI255" s="409">
        <v>0</v>
      </c>
      <c r="AJ255" s="409">
        <v>0</v>
      </c>
      <c r="AK255" s="409">
        <v>0</v>
      </c>
      <c r="AL255" s="409">
        <v>2001.2494607889323</v>
      </c>
      <c r="AM255" s="409"/>
      <c r="AN255" s="409">
        <v>338.20821792818703</v>
      </c>
      <c r="AO255" s="409">
        <v>0</v>
      </c>
      <c r="AP255" s="409">
        <v>0</v>
      </c>
      <c r="AQ255" s="409">
        <v>0</v>
      </c>
      <c r="AR255" s="409">
        <v>0</v>
      </c>
      <c r="AS255" s="409">
        <v>0</v>
      </c>
      <c r="AT255" s="409">
        <v>0</v>
      </c>
      <c r="AU255" s="409">
        <v>0</v>
      </c>
      <c r="AV255" s="409">
        <v>0</v>
      </c>
      <c r="AW255" s="409">
        <v>0</v>
      </c>
      <c r="AX255" s="409">
        <v>0</v>
      </c>
      <c r="AY255" s="409">
        <v>0</v>
      </c>
      <c r="AZ255" s="409">
        <v>0</v>
      </c>
      <c r="BA255" s="409"/>
      <c r="BB255" s="409">
        <v>0</v>
      </c>
      <c r="BC255" s="409">
        <v>0</v>
      </c>
      <c r="BD255" s="409">
        <v>0</v>
      </c>
      <c r="BE255" s="409">
        <v>0</v>
      </c>
      <c r="BF255" s="409">
        <v>0</v>
      </c>
      <c r="BG255" s="409">
        <v>6504.5107056513489</v>
      </c>
      <c r="BH255" s="409">
        <v>0</v>
      </c>
      <c r="BI255" s="409">
        <v>118.66</v>
      </c>
      <c r="BJ255" s="409">
        <v>548.22</v>
      </c>
      <c r="BK255" s="409">
        <v>0</v>
      </c>
      <c r="BL255" s="409">
        <v>1715</v>
      </c>
      <c r="BM255" s="409"/>
      <c r="BN255" s="409"/>
      <c r="BO255" s="409"/>
      <c r="BP255" s="409"/>
      <c r="BQ255" s="409"/>
      <c r="BR255" s="409">
        <v>17997.097759999997</v>
      </c>
      <c r="BS255" s="409"/>
      <c r="BT255" s="409"/>
      <c r="BU255" s="409"/>
      <c r="BV255" s="409">
        <v>54449.607446295966</v>
      </c>
      <c r="BW255" s="409"/>
      <c r="BX255" s="409"/>
      <c r="BY255" s="409"/>
      <c r="BZ255" s="409"/>
      <c r="CA255" s="409"/>
      <c r="CB255" s="409"/>
      <c r="CC255" s="409"/>
      <c r="CD255" s="409"/>
      <c r="CE255" s="409"/>
      <c r="CF255" s="409"/>
      <c r="CG255" s="409"/>
      <c r="CH255" s="409"/>
      <c r="CI255" s="409">
        <v>131967.54080000002</v>
      </c>
      <c r="CJ255" s="409">
        <v>-13717.183250000002</v>
      </c>
      <c r="CK255" s="409"/>
      <c r="CL255" s="409"/>
      <c r="CM255" s="409"/>
      <c r="CN255" s="409"/>
      <c r="CO255" s="409">
        <v>-17252.47178</v>
      </c>
      <c r="CP255" s="409">
        <v>1666.5438600000016</v>
      </c>
      <c r="CQ255" s="409">
        <v>31</v>
      </c>
      <c r="CR255" s="409">
        <v>2930.0092687308352</v>
      </c>
      <c r="CS255" s="409">
        <v>0</v>
      </c>
      <c r="CT255" s="409">
        <v>0</v>
      </c>
      <c r="CU255" s="409">
        <v>0</v>
      </c>
      <c r="CV255" s="409">
        <v>0</v>
      </c>
      <c r="CW255" s="409">
        <v>0</v>
      </c>
      <c r="CX255" s="409">
        <v>0</v>
      </c>
      <c r="CY255" s="409">
        <v>0</v>
      </c>
      <c r="CZ255" s="409">
        <v>865.47809111770766</v>
      </c>
      <c r="DA255" s="409">
        <v>0</v>
      </c>
      <c r="DB255" s="409">
        <v>0</v>
      </c>
      <c r="DC255" s="409">
        <v>2196.3604109341322</v>
      </c>
      <c r="DD255" s="409">
        <v>0</v>
      </c>
      <c r="DE255" s="409">
        <v>0</v>
      </c>
      <c r="DF255" s="409">
        <v>0</v>
      </c>
      <c r="DG255" s="409">
        <v>297.97102889727557</v>
      </c>
      <c r="DH255" s="409">
        <v>0</v>
      </c>
      <c r="DI255" s="409">
        <v>-35.748396670739567</v>
      </c>
      <c r="DJ255" s="409"/>
      <c r="DK255" s="409">
        <v>0</v>
      </c>
      <c r="DL255" s="409">
        <v>0</v>
      </c>
      <c r="DM255" s="409">
        <v>0</v>
      </c>
      <c r="DN255" s="409">
        <v>0</v>
      </c>
      <c r="DO255" s="409">
        <v>-11.22491260011725</v>
      </c>
      <c r="DP255" s="409">
        <v>-19.921595619127231</v>
      </c>
      <c r="DQ255" s="409">
        <v>0</v>
      </c>
      <c r="DR255" s="409">
        <v>-362.90535732827385</v>
      </c>
      <c r="DS255" s="409"/>
      <c r="DT255" s="409"/>
      <c r="DU255" s="409"/>
      <c r="DV255" s="409">
        <v>80773.899031558976</v>
      </c>
      <c r="DW255" s="409">
        <v>0</v>
      </c>
      <c r="DX255" s="409">
        <v>0</v>
      </c>
      <c r="DY255" s="409">
        <v>-17252.471779999993</v>
      </c>
      <c r="DZ255" s="409">
        <v>1666.5438599999979</v>
      </c>
      <c r="EA255" s="409">
        <v>0</v>
      </c>
      <c r="EB255" s="409">
        <v>0</v>
      </c>
      <c r="EC255" s="409">
        <v>-18515.277011066399</v>
      </c>
      <c r="ED255" s="409">
        <v>0</v>
      </c>
      <c r="EE255" s="409">
        <v>0</v>
      </c>
      <c r="EF255" s="409">
        <v>0</v>
      </c>
      <c r="EG255" s="409">
        <v>0</v>
      </c>
      <c r="EH255" s="409">
        <v>0</v>
      </c>
      <c r="EI255" s="409">
        <v>0</v>
      </c>
      <c r="EJ255" s="409">
        <v>0</v>
      </c>
      <c r="EK255" s="409">
        <v>0</v>
      </c>
      <c r="EL255" s="409">
        <v>0</v>
      </c>
      <c r="EM255" s="409">
        <v>0</v>
      </c>
      <c r="EN255" s="409">
        <v>0</v>
      </c>
      <c r="EO255" s="409">
        <v>0</v>
      </c>
      <c r="EP255" s="409">
        <v>0</v>
      </c>
      <c r="EQ255" s="409">
        <v>0</v>
      </c>
      <c r="ER255" s="409">
        <v>0</v>
      </c>
      <c r="ES255" s="409">
        <v>0</v>
      </c>
      <c r="ET255" s="409">
        <v>0</v>
      </c>
      <c r="EU255" s="409">
        <v>0</v>
      </c>
      <c r="EV255" s="409">
        <v>254</v>
      </c>
      <c r="EW255" s="409">
        <v>0</v>
      </c>
      <c r="EX255" s="409">
        <v>0</v>
      </c>
      <c r="EY255" s="409">
        <v>0</v>
      </c>
      <c r="EZ255" s="409"/>
      <c r="FA255" s="409">
        <v>0</v>
      </c>
      <c r="FB255" s="409"/>
      <c r="FC255" s="409"/>
      <c r="FD255" s="409"/>
      <c r="FE255" s="409"/>
      <c r="FF255" s="409">
        <v>0</v>
      </c>
      <c r="FG255" s="409">
        <v>0</v>
      </c>
      <c r="FH255" s="409">
        <v>0</v>
      </c>
      <c r="FI255" s="409">
        <v>0</v>
      </c>
    </row>
    <row r="256" spans="1:165">
      <c r="A256" s="409">
        <v>254</v>
      </c>
      <c r="B256" s="409" t="s">
        <v>2246</v>
      </c>
      <c r="C256" s="409" t="s">
        <v>2244</v>
      </c>
      <c r="D256" s="409" t="s">
        <v>2254</v>
      </c>
      <c r="E256" s="409" t="s">
        <v>973</v>
      </c>
      <c r="F256" s="409" t="s">
        <v>1323</v>
      </c>
      <c r="G256" s="409" t="s">
        <v>1323</v>
      </c>
      <c r="H256" s="409" t="s">
        <v>1323</v>
      </c>
      <c r="I256" s="409" t="s">
        <v>1323</v>
      </c>
      <c r="J256" s="409" t="s">
        <v>2245</v>
      </c>
      <c r="K256" s="835">
        <v>44562</v>
      </c>
      <c r="L256" s="409">
        <v>0</v>
      </c>
      <c r="M256" s="409">
        <v>0</v>
      </c>
      <c r="N256" s="409">
        <v>8.8620000000000001</v>
      </c>
      <c r="O256" s="409">
        <v>8.8620000000000001</v>
      </c>
      <c r="P256" s="409">
        <v>8.8620000000000001</v>
      </c>
      <c r="Q256" s="409">
        <v>8.8620000000000001</v>
      </c>
      <c r="R256" s="409"/>
      <c r="S256" s="409">
        <v>597.01</v>
      </c>
      <c r="T256" s="409">
        <v>243.39</v>
      </c>
      <c r="U256" s="409"/>
      <c r="V256" s="409">
        <v>7447.6247999999996</v>
      </c>
      <c r="W256" s="409">
        <v>7447.6247999999996</v>
      </c>
      <c r="X256" s="409">
        <v>6746.4633599999997</v>
      </c>
      <c r="Y256" s="409">
        <v>0</v>
      </c>
      <c r="Z256" s="409">
        <v>220.51737729658115</v>
      </c>
      <c r="AA256" s="409">
        <v>0</v>
      </c>
      <c r="AB256" s="409">
        <v>0</v>
      </c>
      <c r="AC256" s="409">
        <v>0</v>
      </c>
      <c r="AD256" s="409">
        <v>1038.5294994339945</v>
      </c>
      <c r="AE256" s="409">
        <v>3633.7614064483942</v>
      </c>
      <c r="AF256" s="409">
        <v>2156.8977634287485</v>
      </c>
      <c r="AG256" s="409">
        <v>0</v>
      </c>
      <c r="AH256" s="409">
        <v>0</v>
      </c>
      <c r="AI256" s="409">
        <v>0</v>
      </c>
      <c r="AJ256" s="409">
        <v>0</v>
      </c>
      <c r="AK256" s="409">
        <v>0</v>
      </c>
      <c r="AL256" s="409">
        <v>90.029862894809995</v>
      </c>
      <c r="AM256" s="409"/>
      <c r="AN256" s="409">
        <v>15.214914525433107</v>
      </c>
      <c r="AO256" s="409">
        <v>0</v>
      </c>
      <c r="AP256" s="409">
        <v>0</v>
      </c>
      <c r="AQ256" s="409">
        <v>0</v>
      </c>
      <c r="AR256" s="409">
        <v>0</v>
      </c>
      <c r="AS256" s="409">
        <v>0</v>
      </c>
      <c r="AT256" s="409">
        <v>0</v>
      </c>
      <c r="AU256" s="409">
        <v>0</v>
      </c>
      <c r="AV256" s="409">
        <v>0</v>
      </c>
      <c r="AW256" s="409">
        <v>0</v>
      </c>
      <c r="AX256" s="409">
        <v>0</v>
      </c>
      <c r="AY256" s="409">
        <v>0</v>
      </c>
      <c r="AZ256" s="409">
        <v>0</v>
      </c>
      <c r="BA256" s="409"/>
      <c r="BB256" s="409">
        <v>0</v>
      </c>
      <c r="BC256" s="409">
        <v>0</v>
      </c>
      <c r="BD256" s="409">
        <v>0</v>
      </c>
      <c r="BE256" s="409">
        <v>0</v>
      </c>
      <c r="BF256" s="409">
        <v>0</v>
      </c>
      <c r="BG256" s="409">
        <v>292.61729659467818</v>
      </c>
      <c r="BH256" s="409">
        <v>0</v>
      </c>
      <c r="BI256" s="409">
        <v>0</v>
      </c>
      <c r="BJ256" s="409">
        <v>0</v>
      </c>
      <c r="BK256" s="409">
        <v>0</v>
      </c>
      <c r="BL256" s="409">
        <v>8</v>
      </c>
      <c r="BM256" s="409"/>
      <c r="BN256" s="409"/>
      <c r="BO256" s="409"/>
      <c r="BP256" s="409"/>
      <c r="BQ256" s="409"/>
      <c r="BR256" s="409">
        <v>809.63231999999994</v>
      </c>
      <c r="BS256" s="409"/>
      <c r="BT256" s="409"/>
      <c r="BU256" s="409"/>
      <c r="BV256" s="409">
        <v>2449.5150600234265</v>
      </c>
      <c r="BW256" s="409"/>
      <c r="BX256" s="409"/>
      <c r="BY256" s="409"/>
      <c r="BZ256" s="409"/>
      <c r="CA256" s="409"/>
      <c r="CB256" s="409"/>
      <c r="CC256" s="409"/>
      <c r="CD256" s="409"/>
      <c r="CE256" s="409"/>
      <c r="CF256" s="409"/>
      <c r="CG256" s="409"/>
      <c r="CH256" s="409"/>
      <c r="CI256" s="409">
        <v>5935.4912000000004</v>
      </c>
      <c r="CJ256" s="409">
        <v>-618.4309000000012</v>
      </c>
      <c r="CK256" s="409"/>
      <c r="CL256" s="409"/>
      <c r="CM256" s="409"/>
      <c r="CN256" s="409"/>
      <c r="CO256" s="409">
        <v>-776.13395999999989</v>
      </c>
      <c r="CP256" s="409">
        <v>74.972520000000074</v>
      </c>
      <c r="CQ256" s="409">
        <v>31</v>
      </c>
      <c r="CR256" s="409">
        <v>131.81181952217594</v>
      </c>
      <c r="CS256" s="409">
        <v>0</v>
      </c>
      <c r="CT256" s="409">
        <v>0</v>
      </c>
      <c r="CU256" s="409">
        <v>0</v>
      </c>
      <c r="CV256" s="409">
        <v>0</v>
      </c>
      <c r="CW256" s="409">
        <v>0</v>
      </c>
      <c r="CX256" s="409">
        <v>0</v>
      </c>
      <c r="CY256" s="409">
        <v>0</v>
      </c>
      <c r="CZ256" s="409">
        <v>38.935112992396171</v>
      </c>
      <c r="DA256" s="409">
        <v>0</v>
      </c>
      <c r="DB256" s="409">
        <v>0</v>
      </c>
      <c r="DC256" s="409">
        <v>98.807285417598905</v>
      </c>
      <c r="DD256" s="409">
        <v>0</v>
      </c>
      <c r="DE256" s="409">
        <v>0</v>
      </c>
      <c r="DF256" s="409">
        <v>0</v>
      </c>
      <c r="DG256" s="409">
        <v>13.40477107120455</v>
      </c>
      <c r="DH256" s="409">
        <v>0</v>
      </c>
      <c r="DI256" s="409">
        <v>-1.608206929738401</v>
      </c>
      <c r="DJ256" s="409"/>
      <c r="DK256" s="409">
        <v>0</v>
      </c>
      <c r="DL256" s="409">
        <v>0</v>
      </c>
      <c r="DM256" s="409">
        <v>0</v>
      </c>
      <c r="DN256" s="409">
        <v>0</v>
      </c>
      <c r="DO256" s="409">
        <v>-0.50497319909152338</v>
      </c>
      <c r="DP256" s="409">
        <v>-0.8962093718835149</v>
      </c>
      <c r="DQ256" s="409">
        <v>0</v>
      </c>
      <c r="DR256" s="409">
        <v>-16.325960458311105</v>
      </c>
      <c r="DS256" s="409"/>
      <c r="DT256" s="409"/>
      <c r="DU256" s="409"/>
      <c r="DV256" s="409">
        <v>3633.7614064483942</v>
      </c>
      <c r="DW256" s="409">
        <v>0</v>
      </c>
      <c r="DX256" s="409">
        <v>0</v>
      </c>
      <c r="DY256" s="409">
        <v>-776.13396000000012</v>
      </c>
      <c r="DZ256" s="409">
        <v>74.972519999999804</v>
      </c>
      <c r="EA256" s="409">
        <v>0</v>
      </c>
      <c r="EB256" s="409">
        <v>0</v>
      </c>
      <c r="EC256" s="409">
        <v>-832.94356022392094</v>
      </c>
      <c r="ED256" s="409">
        <v>0</v>
      </c>
      <c r="EE256" s="409">
        <v>0</v>
      </c>
      <c r="EF256" s="409">
        <v>0</v>
      </c>
      <c r="EG256" s="409">
        <v>0</v>
      </c>
      <c r="EH256" s="409">
        <v>0</v>
      </c>
      <c r="EI256" s="409">
        <v>0</v>
      </c>
      <c r="EJ256" s="409">
        <v>0</v>
      </c>
      <c r="EK256" s="409">
        <v>0</v>
      </c>
      <c r="EL256" s="409">
        <v>0</v>
      </c>
      <c r="EM256" s="409">
        <v>0</v>
      </c>
      <c r="EN256" s="409">
        <v>0</v>
      </c>
      <c r="EO256" s="409">
        <v>0</v>
      </c>
      <c r="EP256" s="409">
        <v>0</v>
      </c>
      <c r="EQ256" s="409">
        <v>0</v>
      </c>
      <c r="ER256" s="409">
        <v>0</v>
      </c>
      <c r="ES256" s="409">
        <v>0</v>
      </c>
      <c r="ET256" s="409">
        <v>0</v>
      </c>
      <c r="EU256" s="409">
        <v>0</v>
      </c>
      <c r="EV256" s="409">
        <v>254</v>
      </c>
      <c r="EW256" s="409">
        <v>0</v>
      </c>
      <c r="EX256" s="409">
        <v>0</v>
      </c>
      <c r="EY256" s="409">
        <v>0</v>
      </c>
      <c r="EZ256" s="409"/>
      <c r="FA256" s="409">
        <v>0</v>
      </c>
      <c r="FB256" s="409"/>
      <c r="FC256" s="409"/>
      <c r="FD256" s="409"/>
      <c r="FE256" s="409"/>
      <c r="FF256" s="409">
        <v>0</v>
      </c>
      <c r="FG256" s="409">
        <v>0</v>
      </c>
      <c r="FH256" s="409">
        <v>0</v>
      </c>
      <c r="FI256" s="409">
        <v>0</v>
      </c>
    </row>
    <row r="257" spans="1:165">
      <c r="A257" s="409">
        <v>255</v>
      </c>
      <c r="B257" s="409" t="s">
        <v>1035</v>
      </c>
      <c r="C257" s="409" t="s">
        <v>2252</v>
      </c>
      <c r="D257" s="409" t="s">
        <v>2254</v>
      </c>
      <c r="E257" s="409" t="s">
        <v>973</v>
      </c>
      <c r="F257" s="409" t="s">
        <v>1323</v>
      </c>
      <c r="G257" s="409" t="s">
        <v>1323</v>
      </c>
      <c r="H257" s="409" t="s">
        <v>1323</v>
      </c>
      <c r="I257" s="409" t="s">
        <v>972</v>
      </c>
      <c r="J257" s="409" t="s">
        <v>2245</v>
      </c>
      <c r="K257" s="835">
        <v>44562</v>
      </c>
      <c r="L257" s="409">
        <v>0</v>
      </c>
      <c r="M257" s="409">
        <v>0</v>
      </c>
      <c r="N257" s="409">
        <v>4.2000000000000003E-2</v>
      </c>
      <c r="O257" s="409">
        <v>4.2000000000000003E-2</v>
      </c>
      <c r="P257" s="409">
        <v>4.2000000000000003E-2</v>
      </c>
      <c r="Q257" s="409">
        <v>4.2000000000000003E-2</v>
      </c>
      <c r="R257" s="409"/>
      <c r="S257" s="409">
        <v>1298.56</v>
      </c>
      <c r="T257" s="409">
        <v>214.18</v>
      </c>
      <c r="U257" s="409"/>
      <c r="V257" s="409">
        <v>63.535080000000008</v>
      </c>
      <c r="W257" s="409">
        <v>63.535080000000008</v>
      </c>
      <c r="X257" s="409">
        <v>55.138020000000012</v>
      </c>
      <c r="Y257" s="409">
        <v>0</v>
      </c>
      <c r="Z257" s="409">
        <v>0.91969332711370388</v>
      </c>
      <c r="AA257" s="409">
        <v>0</v>
      </c>
      <c r="AB257" s="409">
        <v>0</v>
      </c>
      <c r="AC257" s="409">
        <v>0</v>
      </c>
      <c r="AD257" s="409">
        <v>11.549504643445818</v>
      </c>
      <c r="AE257" s="409">
        <v>40.410964257330619</v>
      </c>
      <c r="AF257" s="409">
        <v>8.9955925678544943</v>
      </c>
      <c r="AG257" s="409">
        <v>0</v>
      </c>
      <c r="AH257" s="409">
        <v>0</v>
      </c>
      <c r="AI257" s="409">
        <v>0</v>
      </c>
      <c r="AJ257" s="409">
        <v>0</v>
      </c>
      <c r="AK257" s="409">
        <v>0</v>
      </c>
      <c r="AL257" s="409">
        <v>0.37547999690726414</v>
      </c>
      <c r="AM257" s="409"/>
      <c r="AN257" s="409">
        <v>6.3455567689010284E-2</v>
      </c>
      <c r="AO257" s="409">
        <v>0</v>
      </c>
      <c r="AP257" s="409">
        <v>0</v>
      </c>
      <c r="AQ257" s="409">
        <v>0</v>
      </c>
      <c r="AR257" s="409">
        <v>0</v>
      </c>
      <c r="AS257" s="409">
        <v>0</v>
      </c>
      <c r="AT257" s="409">
        <v>0</v>
      </c>
      <c r="AU257" s="409">
        <v>0</v>
      </c>
      <c r="AV257" s="409">
        <v>0</v>
      </c>
      <c r="AW257" s="409">
        <v>0</v>
      </c>
      <c r="AX257" s="409">
        <v>0</v>
      </c>
      <c r="AY257" s="409">
        <v>0</v>
      </c>
      <c r="AZ257" s="409">
        <v>0</v>
      </c>
      <c r="BA257" s="409"/>
      <c r="BB257" s="409">
        <v>0</v>
      </c>
      <c r="BC257" s="409">
        <v>0</v>
      </c>
      <c r="BD257" s="409">
        <v>0</v>
      </c>
      <c r="BE257" s="409">
        <v>0</v>
      </c>
      <c r="BF257" s="409">
        <v>0</v>
      </c>
      <c r="BG257" s="409">
        <v>1.2203944123379946</v>
      </c>
      <c r="BH257" s="409">
        <v>0</v>
      </c>
      <c r="BI257" s="409">
        <v>0</v>
      </c>
      <c r="BJ257" s="409">
        <v>0</v>
      </c>
      <c r="BK257" s="409">
        <v>0</v>
      </c>
      <c r="BL257" s="409">
        <v>0</v>
      </c>
      <c r="BM257" s="409"/>
      <c r="BN257" s="409"/>
      <c r="BO257" s="409"/>
      <c r="BP257" s="409"/>
      <c r="BQ257" s="409"/>
      <c r="BR257" s="409"/>
      <c r="BS257" s="409"/>
      <c r="BT257" s="409"/>
      <c r="BU257" s="409"/>
      <c r="BV257" s="409">
        <v>10.21598698019249</v>
      </c>
      <c r="BW257" s="409"/>
      <c r="BX257" s="409"/>
      <c r="BY257" s="409"/>
      <c r="BZ257" s="409"/>
      <c r="CA257" s="409"/>
      <c r="CB257" s="409"/>
      <c r="CC257" s="409"/>
      <c r="CD257" s="409"/>
      <c r="CE257" s="409"/>
      <c r="CF257" s="409"/>
      <c r="CG257" s="409"/>
      <c r="CH257" s="409"/>
      <c r="CI257" s="409">
        <v>52.512400000000007</v>
      </c>
      <c r="CJ257" s="409">
        <v>-11.052679999999995</v>
      </c>
      <c r="CK257" s="409"/>
      <c r="CL257" s="409"/>
      <c r="CM257" s="409"/>
      <c r="CN257" s="409"/>
      <c r="CO257" s="409">
        <v>-8.7099599999999953</v>
      </c>
      <c r="CP257" s="409">
        <v>0.31289999999999957</v>
      </c>
      <c r="CQ257" s="409">
        <v>31</v>
      </c>
      <c r="CR257" s="409">
        <v>0.86619644271807417</v>
      </c>
      <c r="CS257" s="409">
        <v>0</v>
      </c>
      <c r="CT257" s="409">
        <v>0</v>
      </c>
      <c r="CU257" s="409">
        <v>0</v>
      </c>
      <c r="CV257" s="409">
        <v>0</v>
      </c>
      <c r="CW257" s="409">
        <v>0</v>
      </c>
      <c r="CX257" s="409">
        <v>0</v>
      </c>
      <c r="CY257" s="409">
        <v>0</v>
      </c>
      <c r="CZ257" s="409">
        <v>0.43299806942779817</v>
      </c>
      <c r="DA257" s="409">
        <v>0</v>
      </c>
      <c r="DB257" s="409">
        <v>0</v>
      </c>
      <c r="DC257" s="409">
        <v>0.41208725671793545</v>
      </c>
      <c r="DD257" s="409">
        <v>0</v>
      </c>
      <c r="DE257" s="409">
        <v>0</v>
      </c>
      <c r="DF257" s="409">
        <v>0</v>
      </c>
      <c r="DG257" s="409">
        <v>5.5906154230617622E-2</v>
      </c>
      <c r="DH257" s="409">
        <v>0</v>
      </c>
      <c r="DI257" s="409">
        <v>-6.7072137354012851E-3</v>
      </c>
      <c r="DJ257" s="409"/>
      <c r="DK257" s="409">
        <v>0</v>
      </c>
      <c r="DL257" s="409">
        <v>0</v>
      </c>
      <c r="DM257" s="409">
        <v>0</v>
      </c>
      <c r="DN257" s="409">
        <v>0</v>
      </c>
      <c r="DO257" s="409">
        <v>-2.1060493611381736E-3</v>
      </c>
      <c r="DP257" s="409">
        <v>-3.7377452476660758E-3</v>
      </c>
      <c r="DQ257" s="409">
        <v>0</v>
      </c>
      <c r="DR257" s="409">
        <v>-2.2244029314073571E-2</v>
      </c>
      <c r="DS257" s="409"/>
      <c r="DT257" s="409"/>
      <c r="DU257" s="409"/>
      <c r="DV257" s="409">
        <v>40.410964257330619</v>
      </c>
      <c r="DW257" s="409">
        <v>0</v>
      </c>
      <c r="DX257" s="409">
        <v>0</v>
      </c>
      <c r="DY257" s="409">
        <v>-8.7099599999999953</v>
      </c>
      <c r="DZ257" s="409">
        <v>0.31289999999999907</v>
      </c>
      <c r="EA257" s="409">
        <v>0</v>
      </c>
      <c r="EB257" s="409">
        <v>0</v>
      </c>
      <c r="EC257" s="409">
        <v>-9.263143248989909</v>
      </c>
      <c r="ED257" s="409">
        <v>0</v>
      </c>
      <c r="EE257" s="409">
        <v>0</v>
      </c>
      <c r="EF257" s="409">
        <v>0</v>
      </c>
      <c r="EG257" s="409">
        <v>0</v>
      </c>
      <c r="EH257" s="409">
        <v>0</v>
      </c>
      <c r="EI257" s="409">
        <v>0</v>
      </c>
      <c r="EJ257" s="409">
        <v>0</v>
      </c>
      <c r="EK257" s="409">
        <v>0</v>
      </c>
      <c r="EL257" s="409">
        <v>0</v>
      </c>
      <c r="EM257" s="409">
        <v>0</v>
      </c>
      <c r="EN257" s="409">
        <v>0</v>
      </c>
      <c r="EO257" s="409">
        <v>0</v>
      </c>
      <c r="EP257" s="409">
        <v>0</v>
      </c>
      <c r="EQ257" s="409">
        <v>0</v>
      </c>
      <c r="ER257" s="409">
        <v>0</v>
      </c>
      <c r="ES257" s="409">
        <v>0</v>
      </c>
      <c r="ET257" s="409">
        <v>0</v>
      </c>
      <c r="EU257" s="409">
        <v>0</v>
      </c>
      <c r="EV257" s="409">
        <v>254</v>
      </c>
      <c r="EW257" s="409">
        <v>0</v>
      </c>
      <c r="EX257" s="409">
        <v>0</v>
      </c>
      <c r="EY257" s="409">
        <v>0</v>
      </c>
      <c r="EZ257" s="409"/>
      <c r="FA257" s="409">
        <v>0</v>
      </c>
      <c r="FB257" s="409"/>
      <c r="FC257" s="409"/>
      <c r="FD257" s="409"/>
      <c r="FE257" s="409"/>
      <c r="FF257" s="409">
        <v>0</v>
      </c>
      <c r="FG257" s="409">
        <v>0</v>
      </c>
      <c r="FH257" s="409">
        <v>0</v>
      </c>
      <c r="FI257" s="409">
        <v>0</v>
      </c>
    </row>
    <row r="258" spans="1:165">
      <c r="A258" s="409">
        <v>256</v>
      </c>
      <c r="B258" s="409" t="s">
        <v>1035</v>
      </c>
      <c r="C258" s="409" t="s">
        <v>2252</v>
      </c>
      <c r="D258" s="409" t="s">
        <v>2254</v>
      </c>
      <c r="E258" s="409" t="s">
        <v>973</v>
      </c>
      <c r="F258" s="409" t="s">
        <v>1323</v>
      </c>
      <c r="G258" s="409" t="s">
        <v>1323</v>
      </c>
      <c r="H258" s="409" t="s">
        <v>1323</v>
      </c>
      <c r="I258" s="409" t="s">
        <v>2237</v>
      </c>
      <c r="J258" s="409" t="s">
        <v>2245</v>
      </c>
      <c r="K258" s="835">
        <v>44562</v>
      </c>
      <c r="L258" s="409">
        <v>0</v>
      </c>
      <c r="M258" s="409">
        <v>0</v>
      </c>
      <c r="N258" s="409">
        <v>0.98799999999999999</v>
      </c>
      <c r="O258" s="409">
        <v>0.98799999999999999</v>
      </c>
      <c r="P258" s="409">
        <v>0.98799999999999999</v>
      </c>
      <c r="Q258" s="409">
        <v>0.98799999999999999</v>
      </c>
      <c r="R258" s="409"/>
      <c r="S258" s="409">
        <v>308.83999999999997</v>
      </c>
      <c r="T258" s="409">
        <v>214.18</v>
      </c>
      <c r="U258" s="409"/>
      <c r="V258" s="409">
        <v>516.74375999999995</v>
      </c>
      <c r="W258" s="409">
        <v>516.74375999999995</v>
      </c>
      <c r="X258" s="409">
        <v>484.01132000000001</v>
      </c>
      <c r="Y258" s="409">
        <v>0</v>
      </c>
      <c r="Z258" s="409">
        <v>21.634690647341415</v>
      </c>
      <c r="AA258" s="409">
        <v>0</v>
      </c>
      <c r="AB258" s="409">
        <v>0</v>
      </c>
      <c r="AC258" s="409">
        <v>0</v>
      </c>
      <c r="AD258" s="409">
        <v>54.339217828970192</v>
      </c>
      <c r="AE258" s="409">
        <v>190.12406299718225</v>
      </c>
      <c r="AF258" s="409">
        <v>211.61060612000571</v>
      </c>
      <c r="AG258" s="409">
        <v>0</v>
      </c>
      <c r="AH258" s="409">
        <v>0</v>
      </c>
      <c r="AI258" s="409">
        <v>0</v>
      </c>
      <c r="AJ258" s="409">
        <v>0</v>
      </c>
      <c r="AK258" s="409">
        <v>0</v>
      </c>
      <c r="AL258" s="409">
        <v>8.8327199272470693</v>
      </c>
      <c r="AM258" s="409"/>
      <c r="AN258" s="409">
        <v>1.4927166875414799</v>
      </c>
      <c r="AO258" s="409">
        <v>0</v>
      </c>
      <c r="AP258" s="409">
        <v>0</v>
      </c>
      <c r="AQ258" s="409">
        <v>0</v>
      </c>
      <c r="AR258" s="409">
        <v>0</v>
      </c>
      <c r="AS258" s="409">
        <v>0</v>
      </c>
      <c r="AT258" s="409">
        <v>0</v>
      </c>
      <c r="AU258" s="409">
        <v>0</v>
      </c>
      <c r="AV258" s="409">
        <v>0</v>
      </c>
      <c r="AW258" s="409">
        <v>0</v>
      </c>
      <c r="AX258" s="409">
        <v>0</v>
      </c>
      <c r="AY258" s="409">
        <v>0</v>
      </c>
      <c r="AZ258" s="409">
        <v>0</v>
      </c>
      <c r="BA258" s="409"/>
      <c r="BB258" s="409">
        <v>0</v>
      </c>
      <c r="BC258" s="409">
        <v>0</v>
      </c>
      <c r="BD258" s="409">
        <v>0</v>
      </c>
      <c r="BE258" s="409">
        <v>0</v>
      </c>
      <c r="BF258" s="409">
        <v>0</v>
      </c>
      <c r="BG258" s="409">
        <v>28.708325699760444</v>
      </c>
      <c r="BH258" s="409">
        <v>0</v>
      </c>
      <c r="BI258" s="409">
        <v>0</v>
      </c>
      <c r="BJ258" s="409">
        <v>0</v>
      </c>
      <c r="BK258" s="409">
        <v>0</v>
      </c>
      <c r="BL258" s="409">
        <v>0</v>
      </c>
      <c r="BM258" s="409"/>
      <c r="BN258" s="409"/>
      <c r="BO258" s="409"/>
      <c r="BP258" s="409"/>
      <c r="BQ258" s="409"/>
      <c r="BR258" s="409"/>
      <c r="BS258" s="409"/>
      <c r="BT258" s="409"/>
      <c r="BU258" s="409"/>
      <c r="BV258" s="409">
        <v>240.31893181976616</v>
      </c>
      <c r="BW258" s="409"/>
      <c r="BX258" s="409"/>
      <c r="BY258" s="409"/>
      <c r="BZ258" s="409"/>
      <c r="CA258" s="409"/>
      <c r="CB258" s="409"/>
      <c r="CC258" s="409"/>
      <c r="CD258" s="409"/>
      <c r="CE258" s="409"/>
      <c r="CF258" s="409"/>
      <c r="CG258" s="409"/>
      <c r="CH258" s="409"/>
      <c r="CI258" s="409">
        <v>484.99110000000002</v>
      </c>
      <c r="CJ258" s="409">
        <v>-31.782659999999908</v>
      </c>
      <c r="CK258" s="409"/>
      <c r="CL258" s="409"/>
      <c r="CM258" s="409"/>
      <c r="CN258" s="409"/>
      <c r="CO258" s="409">
        <v>-40.093039999999981</v>
      </c>
      <c r="CP258" s="409">
        <v>7.3605999999999883</v>
      </c>
      <c r="CQ258" s="409">
        <v>31</v>
      </c>
      <c r="CR258" s="409">
        <v>10.847216732995889</v>
      </c>
      <c r="CS258" s="409">
        <v>0</v>
      </c>
      <c r="CT258" s="409">
        <v>0</v>
      </c>
      <c r="CU258" s="409">
        <v>0</v>
      </c>
      <c r="CV258" s="409">
        <v>0</v>
      </c>
      <c r="CW258" s="409">
        <v>0</v>
      </c>
      <c r="CX258" s="409">
        <v>0</v>
      </c>
      <c r="CY258" s="409">
        <v>0</v>
      </c>
      <c r="CZ258" s="409">
        <v>2.0372108709885453</v>
      </c>
      <c r="DA258" s="409">
        <v>0</v>
      </c>
      <c r="DB258" s="409">
        <v>0</v>
      </c>
      <c r="DC258" s="409">
        <v>9.693862134221888</v>
      </c>
      <c r="DD258" s="409">
        <v>0</v>
      </c>
      <c r="DE258" s="409">
        <v>0</v>
      </c>
      <c r="DF258" s="409">
        <v>0</v>
      </c>
      <c r="DG258" s="409">
        <v>1.3151257233297677</v>
      </c>
      <c r="DH258" s="409">
        <v>0</v>
      </c>
      <c r="DI258" s="409">
        <v>-0.15777921834705921</v>
      </c>
      <c r="DJ258" s="409"/>
      <c r="DK258" s="409">
        <v>0</v>
      </c>
      <c r="DL258" s="409">
        <v>0</v>
      </c>
      <c r="DM258" s="409">
        <v>0</v>
      </c>
      <c r="DN258" s="409">
        <v>0</v>
      </c>
      <c r="DO258" s="409">
        <v>-4.9542304019153605E-2</v>
      </c>
      <c r="DP258" s="409">
        <v>-8.7926007254621075E-2</v>
      </c>
      <c r="DQ258" s="409">
        <v>0</v>
      </c>
      <c r="DR258" s="409">
        <v>-1.9037344659234914</v>
      </c>
      <c r="DS258" s="409"/>
      <c r="DT258" s="409"/>
      <c r="DU258" s="409"/>
      <c r="DV258" s="409">
        <v>190.12406299718225</v>
      </c>
      <c r="DW258" s="409">
        <v>0</v>
      </c>
      <c r="DX258" s="409">
        <v>0</v>
      </c>
      <c r="DY258" s="409">
        <v>-40.093039999999974</v>
      </c>
      <c r="DZ258" s="409">
        <v>7.3606000000000051</v>
      </c>
      <c r="EA258" s="409">
        <v>0</v>
      </c>
      <c r="EB258" s="409">
        <v>0</v>
      </c>
      <c r="EC258" s="409">
        <v>-43.580905899898539</v>
      </c>
      <c r="ED258" s="409">
        <v>0</v>
      </c>
      <c r="EE258" s="409">
        <v>0</v>
      </c>
      <c r="EF258" s="409">
        <v>0</v>
      </c>
      <c r="EG258" s="409">
        <v>0</v>
      </c>
      <c r="EH258" s="409">
        <v>0</v>
      </c>
      <c r="EI258" s="409">
        <v>0</v>
      </c>
      <c r="EJ258" s="409">
        <v>0</v>
      </c>
      <c r="EK258" s="409">
        <v>0</v>
      </c>
      <c r="EL258" s="409">
        <v>0</v>
      </c>
      <c r="EM258" s="409">
        <v>0</v>
      </c>
      <c r="EN258" s="409">
        <v>0</v>
      </c>
      <c r="EO258" s="409">
        <v>0</v>
      </c>
      <c r="EP258" s="409">
        <v>0</v>
      </c>
      <c r="EQ258" s="409">
        <v>0</v>
      </c>
      <c r="ER258" s="409">
        <v>0</v>
      </c>
      <c r="ES258" s="409">
        <v>0</v>
      </c>
      <c r="ET258" s="409">
        <v>0</v>
      </c>
      <c r="EU258" s="409">
        <v>0</v>
      </c>
      <c r="EV258" s="409">
        <v>254</v>
      </c>
      <c r="EW258" s="409">
        <v>0</v>
      </c>
      <c r="EX258" s="409">
        <v>0</v>
      </c>
      <c r="EY258" s="409">
        <v>0</v>
      </c>
      <c r="EZ258" s="409"/>
      <c r="FA258" s="409">
        <v>0</v>
      </c>
      <c r="FB258" s="409"/>
      <c r="FC258" s="409"/>
      <c r="FD258" s="409"/>
      <c r="FE258" s="409"/>
      <c r="FF258" s="409">
        <v>0</v>
      </c>
      <c r="FG258" s="409">
        <v>0</v>
      </c>
      <c r="FH258" s="409">
        <v>0</v>
      </c>
      <c r="FI258" s="409">
        <v>0</v>
      </c>
    </row>
    <row r="259" spans="1:165">
      <c r="A259" s="409">
        <v>257</v>
      </c>
      <c r="B259" s="409" t="s">
        <v>1035</v>
      </c>
      <c r="C259" s="409" t="s">
        <v>2252</v>
      </c>
      <c r="D259" s="409" t="s">
        <v>2254</v>
      </c>
      <c r="E259" s="409" t="s">
        <v>973</v>
      </c>
      <c r="F259" s="409" t="s">
        <v>1323</v>
      </c>
      <c r="G259" s="409" t="s">
        <v>1323</v>
      </c>
      <c r="H259" s="409" t="s">
        <v>1323</v>
      </c>
      <c r="I259" s="409" t="s">
        <v>1323</v>
      </c>
      <c r="J259" s="409" t="s">
        <v>2245</v>
      </c>
      <c r="K259" s="835">
        <v>44562</v>
      </c>
      <c r="L259" s="409">
        <v>0</v>
      </c>
      <c r="M259" s="409">
        <v>0</v>
      </c>
      <c r="N259" s="409">
        <v>0.14799999999999999</v>
      </c>
      <c r="O259" s="409">
        <v>0.14799999999999999</v>
      </c>
      <c r="P259" s="409">
        <v>0.14799999999999999</v>
      </c>
      <c r="Q259" s="409">
        <v>0.14799999999999999</v>
      </c>
      <c r="R259" s="409"/>
      <c r="S259" s="409">
        <v>597.01</v>
      </c>
      <c r="T259" s="409">
        <v>243.39</v>
      </c>
      <c r="U259" s="409"/>
      <c r="V259" s="409">
        <v>124.3792</v>
      </c>
      <c r="W259" s="409">
        <v>124.3792</v>
      </c>
      <c r="X259" s="409">
        <v>112.66943999999999</v>
      </c>
      <c r="Y259" s="409">
        <v>0</v>
      </c>
      <c r="Z259" s="409">
        <v>3.6827546648492446</v>
      </c>
      <c r="AA259" s="409">
        <v>0</v>
      </c>
      <c r="AB259" s="409">
        <v>0</v>
      </c>
      <c r="AC259" s="409">
        <v>0</v>
      </c>
      <c r="AD259" s="409">
        <v>17.343981710249512</v>
      </c>
      <c r="AE259" s="409">
        <v>60.685701664902091</v>
      </c>
      <c r="AF259" s="409">
        <v>36.021312230586183</v>
      </c>
      <c r="AG259" s="409">
        <v>0</v>
      </c>
      <c r="AH259" s="409">
        <v>0</v>
      </c>
      <c r="AI259" s="409">
        <v>0</v>
      </c>
      <c r="AJ259" s="409">
        <v>0</v>
      </c>
      <c r="AK259" s="409">
        <v>0</v>
      </c>
      <c r="AL259" s="409">
        <v>1.5035454421611238</v>
      </c>
      <c r="AM259" s="409"/>
      <c r="AN259" s="409">
        <v>0.2540969701832656</v>
      </c>
      <c r="AO259" s="409">
        <v>0</v>
      </c>
      <c r="AP259" s="409">
        <v>0</v>
      </c>
      <c r="AQ259" s="409">
        <v>0</v>
      </c>
      <c r="AR259" s="409">
        <v>0</v>
      </c>
      <c r="AS259" s="409">
        <v>0</v>
      </c>
      <c r="AT259" s="409">
        <v>0</v>
      </c>
      <c r="AU259" s="409">
        <v>0</v>
      </c>
      <c r="AV259" s="409">
        <v>0</v>
      </c>
      <c r="AW259" s="409">
        <v>0</v>
      </c>
      <c r="AX259" s="409">
        <v>0</v>
      </c>
      <c r="AY259" s="409">
        <v>0</v>
      </c>
      <c r="AZ259" s="409">
        <v>0</v>
      </c>
      <c r="BA259" s="409"/>
      <c r="BB259" s="409">
        <v>0</v>
      </c>
      <c r="BC259" s="409">
        <v>0</v>
      </c>
      <c r="BD259" s="409">
        <v>0</v>
      </c>
      <c r="BE259" s="409">
        <v>0</v>
      </c>
      <c r="BF259" s="409">
        <v>0</v>
      </c>
      <c r="BG259" s="409">
        <v>4.886860742046081</v>
      </c>
      <c r="BH259" s="409">
        <v>0</v>
      </c>
      <c r="BI259" s="409">
        <v>1.27</v>
      </c>
      <c r="BJ259" s="409">
        <v>5.88</v>
      </c>
      <c r="BK259" s="409">
        <v>0</v>
      </c>
      <c r="BL259" s="409">
        <v>8</v>
      </c>
      <c r="BM259" s="409"/>
      <c r="BN259" s="409"/>
      <c r="BO259" s="409"/>
      <c r="BP259" s="409"/>
      <c r="BQ259" s="409"/>
      <c r="BR259" s="409">
        <v>13.521279999999997</v>
      </c>
      <c r="BS259" s="409"/>
      <c r="BT259" s="409"/>
      <c r="BU259" s="409"/>
      <c r="BV259" s="409">
        <v>40.908172972632265</v>
      </c>
      <c r="BW259" s="409"/>
      <c r="BX259" s="409"/>
      <c r="BY259" s="409"/>
      <c r="BZ259" s="409"/>
      <c r="CA259" s="409"/>
      <c r="CB259" s="409"/>
      <c r="CC259" s="409"/>
      <c r="CD259" s="409"/>
      <c r="CE259" s="409"/>
      <c r="CF259" s="409"/>
      <c r="CG259" s="409"/>
      <c r="CH259" s="409"/>
      <c r="CI259" s="409">
        <v>100.488</v>
      </c>
      <c r="CJ259" s="409">
        <v>-8.9954000000000036</v>
      </c>
      <c r="CK259" s="409"/>
      <c r="CL259" s="409"/>
      <c r="CM259" s="409"/>
      <c r="CN259" s="409"/>
      <c r="CO259" s="409">
        <v>-12.961839999999997</v>
      </c>
      <c r="CP259" s="409">
        <v>1.2520800000000012</v>
      </c>
      <c r="CQ259" s="409">
        <v>31</v>
      </c>
      <c r="CR259" s="409">
        <v>2.2013258056061815</v>
      </c>
      <c r="CS259" s="409">
        <v>0</v>
      </c>
      <c r="CT259" s="409">
        <v>0</v>
      </c>
      <c r="CU259" s="409">
        <v>0</v>
      </c>
      <c r="CV259" s="409">
        <v>0</v>
      </c>
      <c r="CW259" s="409">
        <v>0</v>
      </c>
      <c r="CX259" s="409">
        <v>0</v>
      </c>
      <c r="CY259" s="409">
        <v>0</v>
      </c>
      <c r="CZ259" s="409">
        <v>0.65023659702941217</v>
      </c>
      <c r="DA259" s="409">
        <v>0</v>
      </c>
      <c r="DB259" s="409">
        <v>0</v>
      </c>
      <c r="DC259" s="409">
        <v>1.6501329543900525</v>
      </c>
      <c r="DD259" s="409">
        <v>0</v>
      </c>
      <c r="DE259" s="409">
        <v>0</v>
      </c>
      <c r="DF259" s="409">
        <v>0</v>
      </c>
      <c r="DG259" s="409">
        <v>0.22386663490614644</v>
      </c>
      <c r="DH259" s="409">
        <v>0</v>
      </c>
      <c r="DI259" s="409">
        <v>-2.6857890498903192E-2</v>
      </c>
      <c r="DJ259" s="409"/>
      <c r="DK259" s="409">
        <v>0</v>
      </c>
      <c r="DL259" s="409">
        <v>0</v>
      </c>
      <c r="DM259" s="409">
        <v>0</v>
      </c>
      <c r="DN259" s="409">
        <v>0</v>
      </c>
      <c r="DO259" s="409">
        <v>-8.4333145413615362E-3</v>
      </c>
      <c r="DP259" s="409">
        <v>-1.4967161706021248E-2</v>
      </c>
      <c r="DQ259" s="409">
        <v>0</v>
      </c>
      <c r="DR259" s="409">
        <v>-0.27265201397314864</v>
      </c>
      <c r="DS259" s="409"/>
      <c r="DT259" s="409"/>
      <c r="DU259" s="409"/>
      <c r="DV259" s="409">
        <v>60.685701664902091</v>
      </c>
      <c r="DW259" s="409">
        <v>0</v>
      </c>
      <c r="DX259" s="409">
        <v>0</v>
      </c>
      <c r="DY259" s="409">
        <v>-12.961839999999995</v>
      </c>
      <c r="DZ259" s="409">
        <v>1.2520799999999994</v>
      </c>
      <c r="EA259" s="409">
        <v>0</v>
      </c>
      <c r="EB259" s="409">
        <v>0</v>
      </c>
      <c r="EC259" s="409">
        <v>-13.910589811909311</v>
      </c>
      <c r="ED259" s="409">
        <v>0</v>
      </c>
      <c r="EE259" s="409">
        <v>0</v>
      </c>
      <c r="EF259" s="409">
        <v>0</v>
      </c>
      <c r="EG259" s="409">
        <v>0</v>
      </c>
      <c r="EH259" s="409">
        <v>0</v>
      </c>
      <c r="EI259" s="409">
        <v>0</v>
      </c>
      <c r="EJ259" s="409">
        <v>0</v>
      </c>
      <c r="EK259" s="409">
        <v>0</v>
      </c>
      <c r="EL259" s="409">
        <v>0</v>
      </c>
      <c r="EM259" s="409">
        <v>0</v>
      </c>
      <c r="EN259" s="409">
        <v>0</v>
      </c>
      <c r="EO259" s="409">
        <v>0</v>
      </c>
      <c r="EP259" s="409">
        <v>0</v>
      </c>
      <c r="EQ259" s="409">
        <v>0</v>
      </c>
      <c r="ER259" s="409">
        <v>0</v>
      </c>
      <c r="ES259" s="409">
        <v>0</v>
      </c>
      <c r="ET259" s="409">
        <v>0</v>
      </c>
      <c r="EU259" s="409">
        <v>0</v>
      </c>
      <c r="EV259" s="409">
        <v>254</v>
      </c>
      <c r="EW259" s="409">
        <v>0</v>
      </c>
      <c r="EX259" s="409">
        <v>0</v>
      </c>
      <c r="EY259" s="409">
        <v>0</v>
      </c>
      <c r="EZ259" s="409"/>
      <c r="FA259" s="409">
        <v>0</v>
      </c>
      <c r="FB259" s="409"/>
      <c r="FC259" s="409"/>
      <c r="FD259" s="409"/>
      <c r="FE259" s="409"/>
      <c r="FF259" s="409">
        <v>0</v>
      </c>
      <c r="FG259" s="409">
        <v>0</v>
      </c>
      <c r="FH259" s="409">
        <v>0</v>
      </c>
      <c r="FI259" s="409">
        <v>0</v>
      </c>
    </row>
    <row r="260" spans="1:165">
      <c r="A260" s="409">
        <v>258</v>
      </c>
      <c r="B260" s="409" t="s">
        <v>1035</v>
      </c>
      <c r="C260" s="409" t="s">
        <v>2252</v>
      </c>
      <c r="D260" s="409" t="s">
        <v>2254</v>
      </c>
      <c r="E260" s="409" t="s">
        <v>973</v>
      </c>
      <c r="F260" s="409" t="s">
        <v>1323</v>
      </c>
      <c r="G260" s="409" t="s">
        <v>1323</v>
      </c>
      <c r="H260" s="409" t="s">
        <v>1323</v>
      </c>
      <c r="I260" s="409" t="s">
        <v>2253</v>
      </c>
      <c r="J260" s="409" t="s">
        <v>2245</v>
      </c>
      <c r="K260" s="835">
        <v>44562</v>
      </c>
      <c r="L260" s="409">
        <v>0</v>
      </c>
      <c r="M260" s="409">
        <v>0</v>
      </c>
      <c r="N260" s="409">
        <v>4.2000000000000003E-2</v>
      </c>
      <c r="O260" s="409">
        <v>4.2000000000000003E-2</v>
      </c>
      <c r="P260" s="409">
        <v>4.2000000000000003E-2</v>
      </c>
      <c r="Q260" s="409">
        <v>4.2000000000000003E-2</v>
      </c>
      <c r="R260" s="409"/>
      <c r="S260" s="409">
        <v>803.7</v>
      </c>
      <c r="T260" s="409">
        <v>214.18</v>
      </c>
      <c r="U260" s="409"/>
      <c r="V260" s="409">
        <v>42.750960000000006</v>
      </c>
      <c r="W260" s="409">
        <v>42.750960000000006</v>
      </c>
      <c r="X260" s="409">
        <v>37.856700000000004</v>
      </c>
      <c r="Y260" s="409">
        <v>0</v>
      </c>
      <c r="Z260" s="409">
        <v>0.91969332711370388</v>
      </c>
      <c r="AA260" s="409">
        <v>0</v>
      </c>
      <c r="AB260" s="409">
        <v>0</v>
      </c>
      <c r="AC260" s="409">
        <v>0</v>
      </c>
      <c r="AD260" s="409">
        <v>6.9297335595806642</v>
      </c>
      <c r="AE260" s="409">
        <v>24.246570237327273</v>
      </c>
      <c r="AF260" s="409">
        <v>8.9955925678544943</v>
      </c>
      <c r="AG260" s="409">
        <v>0</v>
      </c>
      <c r="AH260" s="409">
        <v>0</v>
      </c>
      <c r="AI260" s="409">
        <v>0</v>
      </c>
      <c r="AJ260" s="409">
        <v>0</v>
      </c>
      <c r="AK260" s="409">
        <v>0</v>
      </c>
      <c r="AL260" s="409">
        <v>0.37547999690726414</v>
      </c>
      <c r="AM260" s="409"/>
      <c r="AN260" s="409">
        <v>6.3455567689010284E-2</v>
      </c>
      <c r="AO260" s="409">
        <v>0</v>
      </c>
      <c r="AP260" s="409">
        <v>0</v>
      </c>
      <c r="AQ260" s="409">
        <v>0</v>
      </c>
      <c r="AR260" s="409">
        <v>0</v>
      </c>
      <c r="AS260" s="409">
        <v>0</v>
      </c>
      <c r="AT260" s="409">
        <v>0</v>
      </c>
      <c r="AU260" s="409">
        <v>0</v>
      </c>
      <c r="AV260" s="409">
        <v>0</v>
      </c>
      <c r="AW260" s="409">
        <v>0</v>
      </c>
      <c r="AX260" s="409">
        <v>0</v>
      </c>
      <c r="AY260" s="409">
        <v>0</v>
      </c>
      <c r="AZ260" s="409">
        <v>0</v>
      </c>
      <c r="BA260" s="409"/>
      <c r="BB260" s="409">
        <v>0</v>
      </c>
      <c r="BC260" s="409">
        <v>0</v>
      </c>
      <c r="BD260" s="409">
        <v>0</v>
      </c>
      <c r="BE260" s="409">
        <v>0</v>
      </c>
      <c r="BF260" s="409">
        <v>0</v>
      </c>
      <c r="BG260" s="409">
        <v>1.2203944123379946</v>
      </c>
      <c r="BH260" s="409">
        <v>0</v>
      </c>
      <c r="BI260" s="409">
        <v>0</v>
      </c>
      <c r="BJ260" s="409">
        <v>0</v>
      </c>
      <c r="BK260" s="409">
        <v>0</v>
      </c>
      <c r="BL260" s="409">
        <v>0</v>
      </c>
      <c r="BM260" s="409"/>
      <c r="BN260" s="409"/>
      <c r="BO260" s="409"/>
      <c r="BP260" s="409"/>
      <c r="BQ260" s="409"/>
      <c r="BR260" s="409"/>
      <c r="BS260" s="409"/>
      <c r="BT260" s="409"/>
      <c r="BU260" s="409"/>
      <c r="BV260" s="409">
        <v>10.21598698019249</v>
      </c>
      <c r="BW260" s="409"/>
      <c r="BX260" s="409"/>
      <c r="BY260" s="409"/>
      <c r="BZ260" s="409"/>
      <c r="CA260" s="409"/>
      <c r="CB260" s="409"/>
      <c r="CC260" s="409"/>
      <c r="CD260" s="409"/>
      <c r="CE260" s="409"/>
      <c r="CF260" s="409"/>
      <c r="CG260" s="409"/>
      <c r="CH260" s="409"/>
      <c r="CI260" s="409">
        <v>36.054000000000002</v>
      </c>
      <c r="CJ260" s="409">
        <v>-6.7269599999999983</v>
      </c>
      <c r="CK260" s="409"/>
      <c r="CL260" s="409"/>
      <c r="CM260" s="409"/>
      <c r="CN260" s="409"/>
      <c r="CO260" s="409">
        <v>-5.2071600000000009</v>
      </c>
      <c r="CP260" s="409">
        <v>0.31289999999999957</v>
      </c>
      <c r="CQ260" s="409">
        <v>31</v>
      </c>
      <c r="CR260" s="409">
        <v>0.66365637394341803</v>
      </c>
      <c r="CS260" s="409">
        <v>0</v>
      </c>
      <c r="CT260" s="409">
        <v>0</v>
      </c>
      <c r="CU260" s="409">
        <v>0</v>
      </c>
      <c r="CV260" s="409">
        <v>0</v>
      </c>
      <c r="CW260" s="409">
        <v>0</v>
      </c>
      <c r="CX260" s="409">
        <v>0</v>
      </c>
      <c r="CY260" s="409">
        <v>0</v>
      </c>
      <c r="CZ260" s="409">
        <v>0.25979999537469656</v>
      </c>
      <c r="DA260" s="409">
        <v>0</v>
      </c>
      <c r="DB260" s="409">
        <v>0</v>
      </c>
      <c r="DC260" s="409">
        <v>0.41208725671793545</v>
      </c>
      <c r="DD260" s="409">
        <v>0</v>
      </c>
      <c r="DE260" s="409">
        <v>0</v>
      </c>
      <c r="DF260" s="409">
        <v>0</v>
      </c>
      <c r="DG260" s="409">
        <v>5.5906154230617622E-2</v>
      </c>
      <c r="DH260" s="409">
        <v>0</v>
      </c>
      <c r="DI260" s="409">
        <v>-6.7072137354012851E-3</v>
      </c>
      <c r="DJ260" s="409"/>
      <c r="DK260" s="409">
        <v>0</v>
      </c>
      <c r="DL260" s="409">
        <v>0</v>
      </c>
      <c r="DM260" s="409">
        <v>0</v>
      </c>
      <c r="DN260" s="409">
        <v>0</v>
      </c>
      <c r="DO260" s="409">
        <v>-2.1060493611381736E-3</v>
      </c>
      <c r="DP260" s="409">
        <v>-3.7377452476660758E-3</v>
      </c>
      <c r="DQ260" s="409">
        <v>0</v>
      </c>
      <c r="DR260" s="409">
        <v>-5.1586024035626218E-2</v>
      </c>
      <c r="DS260" s="409"/>
      <c r="DT260" s="409"/>
      <c r="DU260" s="409"/>
      <c r="DV260" s="409">
        <v>24.246570237327273</v>
      </c>
      <c r="DW260" s="409">
        <v>0</v>
      </c>
      <c r="DX260" s="409">
        <v>0</v>
      </c>
      <c r="DY260" s="409">
        <v>-5.2071599999999982</v>
      </c>
      <c r="DZ260" s="409">
        <v>0.31289999999999907</v>
      </c>
      <c r="EA260" s="409">
        <v>0</v>
      </c>
      <c r="EB260" s="409">
        <v>0</v>
      </c>
      <c r="EC260" s="409">
        <v>-5.557884042925707</v>
      </c>
      <c r="ED260" s="409">
        <v>0</v>
      </c>
      <c r="EE260" s="409">
        <v>0</v>
      </c>
      <c r="EF260" s="409">
        <v>0</v>
      </c>
      <c r="EG260" s="409">
        <v>0</v>
      </c>
      <c r="EH260" s="409">
        <v>0</v>
      </c>
      <c r="EI260" s="409">
        <v>0</v>
      </c>
      <c r="EJ260" s="409">
        <v>0</v>
      </c>
      <c r="EK260" s="409">
        <v>0</v>
      </c>
      <c r="EL260" s="409">
        <v>0</v>
      </c>
      <c r="EM260" s="409">
        <v>0</v>
      </c>
      <c r="EN260" s="409">
        <v>0</v>
      </c>
      <c r="EO260" s="409">
        <v>0</v>
      </c>
      <c r="EP260" s="409">
        <v>0</v>
      </c>
      <c r="EQ260" s="409">
        <v>0</v>
      </c>
      <c r="ER260" s="409">
        <v>0</v>
      </c>
      <c r="ES260" s="409">
        <v>0</v>
      </c>
      <c r="ET260" s="409">
        <v>0</v>
      </c>
      <c r="EU260" s="409">
        <v>0</v>
      </c>
      <c r="EV260" s="409">
        <v>254</v>
      </c>
      <c r="EW260" s="409">
        <v>0</v>
      </c>
      <c r="EX260" s="409">
        <v>0</v>
      </c>
      <c r="EY260" s="409">
        <v>0</v>
      </c>
      <c r="EZ260" s="409"/>
      <c r="FA260" s="409">
        <v>0</v>
      </c>
      <c r="FB260" s="409"/>
      <c r="FC260" s="409"/>
      <c r="FD260" s="409"/>
      <c r="FE260" s="409"/>
      <c r="FF260" s="409">
        <v>0</v>
      </c>
      <c r="FG260" s="409">
        <v>0</v>
      </c>
      <c r="FH260" s="409">
        <v>0</v>
      </c>
      <c r="FI260" s="409">
        <v>0</v>
      </c>
    </row>
    <row r="261" spans="1:165">
      <c r="A261" s="409">
        <v>259</v>
      </c>
      <c r="B261" s="409" t="s">
        <v>1035</v>
      </c>
      <c r="C261" s="409" t="s">
        <v>2244</v>
      </c>
      <c r="D261" s="409" t="s">
        <v>1994</v>
      </c>
      <c r="E261" s="409" t="s">
        <v>2255</v>
      </c>
      <c r="F261" s="409" t="s">
        <v>1323</v>
      </c>
      <c r="G261" s="409" t="s">
        <v>1323</v>
      </c>
      <c r="H261" s="409" t="s">
        <v>1323</v>
      </c>
      <c r="I261" s="409" t="s">
        <v>1323</v>
      </c>
      <c r="J261" s="409" t="s">
        <v>2245</v>
      </c>
      <c r="K261" s="835">
        <v>44562</v>
      </c>
      <c r="L261" s="409">
        <v>0</v>
      </c>
      <c r="M261" s="409">
        <v>0</v>
      </c>
      <c r="N261" s="409">
        <v>16.475000000000001</v>
      </c>
      <c r="O261" s="409">
        <v>16.475000000000001</v>
      </c>
      <c r="P261" s="409">
        <v>16.475000000000001</v>
      </c>
      <c r="Q261" s="409">
        <v>16.475000000000001</v>
      </c>
      <c r="R261" s="409"/>
      <c r="S261" s="409">
        <v>597.01</v>
      </c>
      <c r="T261" s="409">
        <v>243.39</v>
      </c>
      <c r="U261" s="409"/>
      <c r="V261" s="409">
        <v>13845.59</v>
      </c>
      <c r="W261" s="409">
        <v>13845.59</v>
      </c>
      <c r="X261" s="409">
        <v>12542.088000000002</v>
      </c>
      <c r="Y261" s="409">
        <v>0</v>
      </c>
      <c r="Z261" s="409">
        <v>409.95529123913053</v>
      </c>
      <c r="AA261" s="409">
        <v>0</v>
      </c>
      <c r="AB261" s="409">
        <v>0</v>
      </c>
      <c r="AC261" s="409">
        <v>0</v>
      </c>
      <c r="AD261" s="409">
        <v>1930.6898559213564</v>
      </c>
      <c r="AE261" s="409">
        <v>6755.3846954679866</v>
      </c>
      <c r="AF261" s="409">
        <v>4009.8048581007256</v>
      </c>
      <c r="AG261" s="409">
        <v>0</v>
      </c>
      <c r="AH261" s="409">
        <v>0</v>
      </c>
      <c r="AI261" s="409">
        <v>0</v>
      </c>
      <c r="AJ261" s="409">
        <v>0</v>
      </c>
      <c r="AK261" s="409">
        <v>0</v>
      </c>
      <c r="AL261" s="409">
        <v>167.37102134867916</v>
      </c>
      <c r="AM261" s="409"/>
      <c r="AN261" s="409">
        <v>28.285456647089873</v>
      </c>
      <c r="AO261" s="409">
        <v>0</v>
      </c>
      <c r="AP261" s="409">
        <v>0</v>
      </c>
      <c r="AQ261" s="409">
        <v>0</v>
      </c>
      <c r="AR261" s="409">
        <v>0</v>
      </c>
      <c r="AS261" s="409">
        <v>0</v>
      </c>
      <c r="AT261" s="409">
        <v>0</v>
      </c>
      <c r="AU261" s="409">
        <v>0</v>
      </c>
      <c r="AV261" s="409">
        <v>0</v>
      </c>
      <c r="AW261" s="409">
        <v>0</v>
      </c>
      <c r="AX261" s="409">
        <v>0</v>
      </c>
      <c r="AY261" s="409">
        <v>0</v>
      </c>
      <c r="AZ261" s="409">
        <v>0</v>
      </c>
      <c r="BA261" s="409"/>
      <c r="BB261" s="409">
        <v>0</v>
      </c>
      <c r="BC261" s="409">
        <v>0</v>
      </c>
      <c r="BD261" s="409">
        <v>0</v>
      </c>
      <c r="BE261" s="409">
        <v>0</v>
      </c>
      <c r="BF261" s="409">
        <v>0</v>
      </c>
      <c r="BG261" s="409">
        <v>543.99345084600805</v>
      </c>
      <c r="BH261" s="409">
        <v>0</v>
      </c>
      <c r="BI261" s="409">
        <v>16.21</v>
      </c>
      <c r="BJ261" s="409">
        <v>74.78</v>
      </c>
      <c r="BK261" s="409">
        <v>1574.43</v>
      </c>
      <c r="BL261" s="409">
        <v>30</v>
      </c>
      <c r="BM261" s="409"/>
      <c r="BN261" s="409"/>
      <c r="BO261" s="409"/>
      <c r="BP261" s="409"/>
      <c r="BQ261" s="409"/>
      <c r="BR261" s="409"/>
      <c r="BS261" s="409"/>
      <c r="BT261" s="409"/>
      <c r="BU261" s="409"/>
      <c r="BV261" s="409">
        <v>4553.7983089467334</v>
      </c>
      <c r="BW261" s="409"/>
      <c r="BX261" s="409"/>
      <c r="BY261" s="409"/>
      <c r="BZ261" s="409"/>
      <c r="CA261" s="409"/>
      <c r="CB261" s="409"/>
      <c r="CC261" s="409"/>
      <c r="CD261" s="409"/>
      <c r="CE261" s="409"/>
      <c r="CF261" s="409"/>
      <c r="CG261" s="409"/>
      <c r="CH261" s="409"/>
      <c r="CI261" s="409">
        <v>12545.894400000001</v>
      </c>
      <c r="CJ261" s="409">
        <v>-1299.7255999999998</v>
      </c>
      <c r="CK261" s="409"/>
      <c r="CL261" s="409"/>
      <c r="CM261" s="409"/>
      <c r="CN261" s="409"/>
      <c r="CO261" s="409">
        <v>-1442.8804999999998</v>
      </c>
      <c r="CP261" s="409">
        <v>139.37850000000014</v>
      </c>
      <c r="CQ261" s="409">
        <v>31</v>
      </c>
      <c r="CR261" s="409">
        <v>245.04623410379463</v>
      </c>
      <c r="CS261" s="409">
        <v>0</v>
      </c>
      <c r="CT261" s="409">
        <v>0</v>
      </c>
      <c r="CU261" s="409">
        <v>0</v>
      </c>
      <c r="CV261" s="409">
        <v>0</v>
      </c>
      <c r="CW261" s="409">
        <v>0</v>
      </c>
      <c r="CX261" s="409">
        <v>0</v>
      </c>
      <c r="CY261" s="409">
        <v>0</v>
      </c>
      <c r="CZ261" s="409">
        <v>72.382756324726643</v>
      </c>
      <c r="DA261" s="409">
        <v>0</v>
      </c>
      <c r="DB261" s="409">
        <v>0</v>
      </c>
      <c r="DC261" s="409">
        <v>183.68878664578506</v>
      </c>
      <c r="DD261" s="409">
        <v>0</v>
      </c>
      <c r="DE261" s="409">
        <v>0</v>
      </c>
      <c r="DF261" s="409">
        <v>0</v>
      </c>
      <c r="DG261" s="409">
        <v>24.920289257289028</v>
      </c>
      <c r="DH261" s="409">
        <v>0</v>
      </c>
      <c r="DI261" s="409">
        <v>-2.989755040334046</v>
      </c>
      <c r="DJ261" s="409"/>
      <c r="DK261" s="409">
        <v>0</v>
      </c>
      <c r="DL261" s="409">
        <v>0</v>
      </c>
      <c r="DM261" s="409">
        <v>0</v>
      </c>
      <c r="DN261" s="409">
        <v>0</v>
      </c>
      <c r="DO261" s="409">
        <v>-0.9387760612765419</v>
      </c>
      <c r="DP261" s="409">
        <v>-1.666108034504731</v>
      </c>
      <c r="DQ261" s="409">
        <v>0</v>
      </c>
      <c r="DR261" s="409">
        <v>-30.35095898788936</v>
      </c>
      <c r="DS261" s="409"/>
      <c r="DT261" s="409"/>
      <c r="DU261" s="409"/>
      <c r="DV261" s="409">
        <v>6755.3846954679866</v>
      </c>
      <c r="DW261" s="409">
        <v>0</v>
      </c>
      <c r="DX261" s="409">
        <v>0</v>
      </c>
      <c r="DY261" s="409">
        <v>-1442.8804999999993</v>
      </c>
      <c r="DZ261" s="409">
        <v>139.37850000000026</v>
      </c>
      <c r="EA261" s="409">
        <v>0</v>
      </c>
      <c r="EB261" s="409">
        <v>0</v>
      </c>
      <c r="EC261" s="409">
        <v>-1548.4930212919317</v>
      </c>
      <c r="ED261" s="409">
        <v>0</v>
      </c>
      <c r="EE261" s="409">
        <v>0</v>
      </c>
      <c r="EF261" s="409">
        <v>0</v>
      </c>
      <c r="EG261" s="409">
        <v>0</v>
      </c>
      <c r="EH261" s="409">
        <v>0</v>
      </c>
      <c r="EI261" s="409">
        <v>0</v>
      </c>
      <c r="EJ261" s="409">
        <v>0</v>
      </c>
      <c r="EK261" s="409">
        <v>0</v>
      </c>
      <c r="EL261" s="409">
        <v>0</v>
      </c>
      <c r="EM261" s="409">
        <v>0</v>
      </c>
      <c r="EN261" s="409">
        <v>0</v>
      </c>
      <c r="EO261" s="409">
        <v>0</v>
      </c>
      <c r="EP261" s="409">
        <v>0</v>
      </c>
      <c r="EQ261" s="409">
        <v>0</v>
      </c>
      <c r="ER261" s="409">
        <v>0</v>
      </c>
      <c r="ES261" s="409">
        <v>0</v>
      </c>
      <c r="ET261" s="409">
        <v>0</v>
      </c>
      <c r="EU261" s="409">
        <v>0</v>
      </c>
      <c r="EV261" s="409">
        <v>254</v>
      </c>
      <c r="EW261" s="409">
        <v>0</v>
      </c>
      <c r="EX261" s="409">
        <v>0</v>
      </c>
      <c r="EY261" s="409">
        <v>0</v>
      </c>
      <c r="EZ261" s="409"/>
      <c r="FA261" s="409">
        <v>0</v>
      </c>
      <c r="FB261" s="409"/>
      <c r="FC261" s="409"/>
      <c r="FD261" s="409"/>
      <c r="FE261" s="409"/>
      <c r="FF261" s="409">
        <v>0</v>
      </c>
      <c r="FG261" s="409">
        <v>0</v>
      </c>
      <c r="FH261" s="409">
        <v>0</v>
      </c>
      <c r="FI261" s="409">
        <v>0</v>
      </c>
    </row>
    <row r="262" spans="1:165">
      <c r="A262" s="409">
        <v>260</v>
      </c>
      <c r="B262" s="409" t="s">
        <v>1035</v>
      </c>
      <c r="C262" s="409" t="s">
        <v>2244</v>
      </c>
      <c r="D262" s="409" t="s">
        <v>2256</v>
      </c>
      <c r="E262" s="409" t="s">
        <v>2257</v>
      </c>
      <c r="F262" s="409" t="s">
        <v>2258</v>
      </c>
      <c r="G262" s="409" t="s">
        <v>1323</v>
      </c>
      <c r="H262" s="409" t="s">
        <v>1323</v>
      </c>
      <c r="I262" s="409" t="s">
        <v>1323</v>
      </c>
      <c r="J262" s="409" t="s">
        <v>2245</v>
      </c>
      <c r="K262" s="835">
        <v>44562</v>
      </c>
      <c r="L262" s="409">
        <v>0</v>
      </c>
      <c r="M262" s="409">
        <v>0</v>
      </c>
      <c r="N262" s="409">
        <v>132.09399999999999</v>
      </c>
      <c r="O262" s="409">
        <v>132.09399999999999</v>
      </c>
      <c r="P262" s="409">
        <v>132.09399999999999</v>
      </c>
      <c r="Q262" s="409">
        <v>132.09399999999999</v>
      </c>
      <c r="R262" s="409"/>
      <c r="S262" s="409">
        <v>328.35</v>
      </c>
      <c r="T262" s="409">
        <v>133.86000000000001</v>
      </c>
      <c r="U262" s="409"/>
      <c r="V262" s="409">
        <v>61055.167739999997</v>
      </c>
      <c r="W262" s="409">
        <v>61055.167739999997</v>
      </c>
      <c r="X262" s="409">
        <v>55307.757799999992</v>
      </c>
      <c r="Y262" s="409">
        <v>0</v>
      </c>
      <c r="Z262" s="409">
        <v>1807.826939758299</v>
      </c>
      <c r="AA262" s="409">
        <v>0</v>
      </c>
      <c r="AB262" s="409">
        <v>0</v>
      </c>
      <c r="AC262" s="409">
        <v>0</v>
      </c>
      <c r="AD262" s="409">
        <v>8513.9848379630712</v>
      </c>
      <c r="AE262" s="409">
        <v>29789.995889513346</v>
      </c>
      <c r="AF262" s="409">
        <v>17682.497093127567</v>
      </c>
      <c r="AG262" s="409">
        <v>0</v>
      </c>
      <c r="AH262" s="409">
        <v>0</v>
      </c>
      <c r="AI262" s="409">
        <v>0</v>
      </c>
      <c r="AJ262" s="409">
        <v>0</v>
      </c>
      <c r="AK262" s="409">
        <v>0</v>
      </c>
      <c r="AL262" s="409">
        <v>738.07521892065756</v>
      </c>
      <c r="AM262" s="409"/>
      <c r="AN262" s="409">
        <v>124.7336273558351</v>
      </c>
      <c r="AO262" s="409">
        <v>0</v>
      </c>
      <c r="AP262" s="409">
        <v>0</v>
      </c>
      <c r="AQ262" s="409">
        <v>0</v>
      </c>
      <c r="AR262" s="409">
        <v>0</v>
      </c>
      <c r="AS262" s="409">
        <v>0</v>
      </c>
      <c r="AT262" s="409">
        <v>0</v>
      </c>
      <c r="AU262" s="409">
        <v>0</v>
      </c>
      <c r="AV262" s="409">
        <v>0</v>
      </c>
      <c r="AW262" s="409">
        <v>0</v>
      </c>
      <c r="AX262" s="409">
        <v>0</v>
      </c>
      <c r="AY262" s="409">
        <v>0</v>
      </c>
      <c r="AZ262" s="409">
        <v>0</v>
      </c>
      <c r="BA262" s="409"/>
      <c r="BB262" s="409">
        <v>0</v>
      </c>
      <c r="BC262" s="409">
        <v>0</v>
      </c>
      <c r="BD262" s="409">
        <v>0</v>
      </c>
      <c r="BE262" s="409">
        <v>0</v>
      </c>
      <c r="BF262" s="409">
        <v>0</v>
      </c>
      <c r="BG262" s="409">
        <v>2398.9104092764196</v>
      </c>
      <c r="BH262" s="409">
        <v>0</v>
      </c>
      <c r="BI262" s="409">
        <v>0</v>
      </c>
      <c r="BJ262" s="409">
        <v>0</v>
      </c>
      <c r="BK262" s="409">
        <v>0</v>
      </c>
      <c r="BL262" s="409">
        <v>5</v>
      </c>
      <c r="BM262" s="409"/>
      <c r="BN262" s="409"/>
      <c r="BO262" s="409"/>
      <c r="BP262" s="409"/>
      <c r="BQ262" s="409"/>
      <c r="BR262" s="409"/>
      <c r="BS262" s="409"/>
      <c r="BT262" s="409"/>
      <c r="BU262" s="409"/>
      <c r="BV262" s="409">
        <v>20081.407502403988</v>
      </c>
      <c r="BW262" s="409"/>
      <c r="BX262" s="409"/>
      <c r="BY262" s="409"/>
      <c r="BZ262" s="409"/>
      <c r="CA262" s="409"/>
      <c r="CB262" s="409"/>
      <c r="CC262" s="409"/>
      <c r="CD262" s="409"/>
      <c r="CE262" s="409"/>
      <c r="CF262" s="409"/>
      <c r="CG262" s="409"/>
      <c r="CH262" s="409"/>
      <c r="CI262" s="409">
        <v>55306.083000000006</v>
      </c>
      <c r="CJ262" s="409">
        <v>-5749.1147399999973</v>
      </c>
      <c r="CK262" s="409"/>
      <c r="CL262" s="409"/>
      <c r="CM262" s="409"/>
      <c r="CN262" s="409"/>
      <c r="CO262" s="409">
        <v>-6362.9679800000022</v>
      </c>
      <c r="CP262" s="409">
        <v>615.55803999999955</v>
      </c>
      <c r="CQ262" s="409">
        <v>31</v>
      </c>
      <c r="CR262" s="409">
        <v>1080.6085272375167</v>
      </c>
      <c r="CS262" s="409">
        <v>0</v>
      </c>
      <c r="CT262" s="409">
        <v>0</v>
      </c>
      <c r="CU262" s="409">
        <v>0</v>
      </c>
      <c r="CV262" s="409">
        <v>0</v>
      </c>
      <c r="CW262" s="409">
        <v>0</v>
      </c>
      <c r="CX262" s="409">
        <v>0</v>
      </c>
      <c r="CY262" s="409">
        <v>0</v>
      </c>
      <c r="CZ262" s="409">
        <v>319.1945552459365</v>
      </c>
      <c r="DA262" s="409">
        <v>0</v>
      </c>
      <c r="DB262" s="409">
        <v>0</v>
      </c>
      <c r="DC262" s="409">
        <v>810.03354298958584</v>
      </c>
      <c r="DD262" s="409">
        <v>0</v>
      </c>
      <c r="DE262" s="409">
        <v>0</v>
      </c>
      <c r="DF262" s="409">
        <v>0</v>
      </c>
      <c r="DG262" s="409">
        <v>109.89386215681998</v>
      </c>
      <c r="DH262" s="409">
        <v>0</v>
      </c>
      <c r="DI262" s="409">
        <v>-13.184266237564088</v>
      </c>
      <c r="DJ262" s="409"/>
      <c r="DK262" s="409">
        <v>0</v>
      </c>
      <c r="DL262" s="409">
        <v>0</v>
      </c>
      <c r="DM262" s="409">
        <v>0</v>
      </c>
      <c r="DN262" s="409">
        <v>0</v>
      </c>
      <c r="DO262" s="409">
        <v>-4.139828635569188</v>
      </c>
      <c r="DP262" s="409">
        <v>-7.3472279872795383</v>
      </c>
      <c r="DQ262" s="409">
        <v>0</v>
      </c>
      <c r="DR262" s="409">
        <v>-133.84211029441292</v>
      </c>
      <c r="DS262" s="409"/>
      <c r="DT262" s="409"/>
      <c r="DU262" s="409"/>
      <c r="DV262" s="409">
        <v>29789.995889513346</v>
      </c>
      <c r="DW262" s="409">
        <v>0</v>
      </c>
      <c r="DX262" s="409">
        <v>0</v>
      </c>
      <c r="DY262" s="409">
        <v>-6362.9679800000013</v>
      </c>
      <c r="DZ262" s="409">
        <v>615.55803999999989</v>
      </c>
      <c r="EA262" s="409">
        <v>0</v>
      </c>
      <c r="EB262" s="409">
        <v>0</v>
      </c>
      <c r="EC262" s="409">
        <v>-6828.567552958797</v>
      </c>
      <c r="ED262" s="409">
        <v>0</v>
      </c>
      <c r="EE262" s="409">
        <v>0</v>
      </c>
      <c r="EF262" s="409">
        <v>0</v>
      </c>
      <c r="EG262" s="409">
        <v>0</v>
      </c>
      <c r="EH262" s="409">
        <v>0</v>
      </c>
      <c r="EI262" s="409">
        <v>0</v>
      </c>
      <c r="EJ262" s="409">
        <v>0</v>
      </c>
      <c r="EK262" s="409">
        <v>0</v>
      </c>
      <c r="EL262" s="409">
        <v>0</v>
      </c>
      <c r="EM262" s="409">
        <v>0</v>
      </c>
      <c r="EN262" s="409">
        <v>0</v>
      </c>
      <c r="EO262" s="409">
        <v>0</v>
      </c>
      <c r="EP262" s="409">
        <v>0</v>
      </c>
      <c r="EQ262" s="409">
        <v>0</v>
      </c>
      <c r="ER262" s="409">
        <v>0</v>
      </c>
      <c r="ES262" s="409">
        <v>0</v>
      </c>
      <c r="ET262" s="409">
        <v>0</v>
      </c>
      <c r="EU262" s="409">
        <v>0</v>
      </c>
      <c r="EV262" s="409">
        <v>254</v>
      </c>
      <c r="EW262" s="409">
        <v>0</v>
      </c>
      <c r="EX262" s="409">
        <v>0</v>
      </c>
      <c r="EY262" s="409">
        <v>0</v>
      </c>
      <c r="EZ262" s="409"/>
      <c r="FA262" s="409">
        <v>0</v>
      </c>
      <c r="FB262" s="409"/>
      <c r="FC262" s="409"/>
      <c r="FD262" s="409"/>
      <c r="FE262" s="409"/>
      <c r="FF262" s="409">
        <v>0</v>
      </c>
      <c r="FG262" s="409">
        <v>0</v>
      </c>
      <c r="FH262" s="409">
        <v>0</v>
      </c>
      <c r="FI262" s="409">
        <v>0</v>
      </c>
    </row>
    <row r="263" spans="1:165">
      <c r="A263" s="409">
        <v>261</v>
      </c>
      <c r="B263" s="409" t="s">
        <v>1035</v>
      </c>
      <c r="C263" s="409" t="s">
        <v>2244</v>
      </c>
      <c r="D263" s="409" t="s">
        <v>1994</v>
      </c>
      <c r="E263" s="409" t="s">
        <v>1000</v>
      </c>
      <c r="F263" s="409" t="s">
        <v>2259</v>
      </c>
      <c r="G263" s="409" t="s">
        <v>1323</v>
      </c>
      <c r="H263" s="409" t="s">
        <v>1323</v>
      </c>
      <c r="I263" s="409" t="s">
        <v>1323</v>
      </c>
      <c r="J263" s="409" t="s">
        <v>2245</v>
      </c>
      <c r="K263" s="835">
        <v>44562</v>
      </c>
      <c r="L263" s="409">
        <v>0</v>
      </c>
      <c r="M263" s="409">
        <v>0</v>
      </c>
      <c r="N263" s="409">
        <v>55.542000000000002</v>
      </c>
      <c r="O263" s="409">
        <v>52.209479999999999</v>
      </c>
      <c r="P263" s="409">
        <v>55.542000000000002</v>
      </c>
      <c r="Q263" s="409">
        <v>52.209479999999999</v>
      </c>
      <c r="R263" s="409"/>
      <c r="S263" s="409">
        <v>597.01</v>
      </c>
      <c r="T263" s="409">
        <v>243.39</v>
      </c>
      <c r="U263" s="409"/>
      <c r="V263" s="409">
        <v>46677.496799999994</v>
      </c>
      <c r="W263" s="409">
        <v>46677.496799999994</v>
      </c>
      <c r="X263" s="409">
        <v>42283.013760000002</v>
      </c>
      <c r="Y263" s="409">
        <v>0</v>
      </c>
      <c r="Z263" s="409">
        <v>1382.0781053720052</v>
      </c>
      <c r="AA263" s="409">
        <v>0</v>
      </c>
      <c r="AB263" s="409">
        <v>0</v>
      </c>
      <c r="AC263" s="409">
        <v>0</v>
      </c>
      <c r="AD263" s="409">
        <v>6508.9150820991781</v>
      </c>
      <c r="AE263" s="409">
        <v>22774.359742378325</v>
      </c>
      <c r="AF263" s="409">
        <v>13518.214350751472</v>
      </c>
      <c r="AG263" s="409">
        <v>0</v>
      </c>
      <c r="AH263" s="409">
        <v>0</v>
      </c>
      <c r="AI263" s="409">
        <v>0</v>
      </c>
      <c r="AJ263" s="409">
        <v>0</v>
      </c>
      <c r="AK263" s="409">
        <v>0</v>
      </c>
      <c r="AL263" s="409">
        <v>564.25622262508887</v>
      </c>
      <c r="AM263" s="409"/>
      <c r="AN263" s="409">
        <v>95.358472418371207</v>
      </c>
      <c r="AO263" s="409">
        <v>0</v>
      </c>
      <c r="AP263" s="409">
        <v>0</v>
      </c>
      <c r="AQ263" s="409">
        <v>0</v>
      </c>
      <c r="AR263" s="409">
        <v>0</v>
      </c>
      <c r="AS263" s="409">
        <v>0</v>
      </c>
      <c r="AT263" s="409">
        <v>0</v>
      </c>
      <c r="AU263" s="409">
        <v>0</v>
      </c>
      <c r="AV263" s="409">
        <v>0</v>
      </c>
      <c r="AW263" s="409">
        <v>0</v>
      </c>
      <c r="AX263" s="409">
        <v>0</v>
      </c>
      <c r="AY263" s="409">
        <v>0</v>
      </c>
      <c r="AZ263" s="409">
        <v>0</v>
      </c>
      <c r="BA263" s="409"/>
      <c r="BB263" s="409">
        <v>0</v>
      </c>
      <c r="BC263" s="409">
        <v>0</v>
      </c>
      <c r="BD263" s="409">
        <v>0</v>
      </c>
      <c r="BE263" s="409">
        <v>0</v>
      </c>
      <c r="BF263" s="409">
        <v>0</v>
      </c>
      <c r="BG263" s="409">
        <v>1833.9595900994827</v>
      </c>
      <c r="BH263" s="409">
        <v>0</v>
      </c>
      <c r="BI263" s="409">
        <v>0</v>
      </c>
      <c r="BJ263" s="409">
        <v>0</v>
      </c>
      <c r="BK263" s="409">
        <v>0</v>
      </c>
      <c r="BL263" s="409">
        <v>9</v>
      </c>
      <c r="BM263" s="409"/>
      <c r="BN263" s="409"/>
      <c r="BO263" s="409"/>
      <c r="BP263" s="409"/>
      <c r="BQ263" s="409">
        <v>2536.9808256000015</v>
      </c>
      <c r="BR263" s="409"/>
      <c r="BS263" s="409"/>
      <c r="BT263" s="409"/>
      <c r="BU263" s="409"/>
      <c r="BV263" s="409">
        <v>15352.173940850955</v>
      </c>
      <c r="BW263" s="409"/>
      <c r="BX263" s="409"/>
      <c r="BY263" s="409"/>
      <c r="BZ263" s="409"/>
      <c r="CA263" s="409"/>
      <c r="CB263" s="409"/>
      <c r="CC263" s="409"/>
      <c r="CD263" s="409"/>
      <c r="CE263" s="409"/>
      <c r="CF263" s="409"/>
      <c r="CG263" s="409"/>
      <c r="CH263" s="409"/>
      <c r="CI263" s="409">
        <v>39746.428800000002</v>
      </c>
      <c r="CJ263" s="409">
        <v>-4130.4481919999962</v>
      </c>
      <c r="CK263" s="409"/>
      <c r="CL263" s="409"/>
      <c r="CM263" s="409"/>
      <c r="CN263" s="409"/>
      <c r="CO263" s="409">
        <v>-4864.3683599999995</v>
      </c>
      <c r="CP263" s="409">
        <v>469.88532000000043</v>
      </c>
      <c r="CQ263" s="409">
        <v>31</v>
      </c>
      <c r="CR263" s="409">
        <v>826.12187766877832</v>
      </c>
      <c r="CS263" s="409">
        <v>0</v>
      </c>
      <c r="CT263" s="409">
        <v>0</v>
      </c>
      <c r="CU263" s="409">
        <v>0</v>
      </c>
      <c r="CV263" s="409">
        <v>0</v>
      </c>
      <c r="CW263" s="409">
        <v>0</v>
      </c>
      <c r="CX263" s="409">
        <v>0</v>
      </c>
      <c r="CY263" s="409">
        <v>0</v>
      </c>
      <c r="CZ263" s="409">
        <v>244.02325048788953</v>
      </c>
      <c r="DA263" s="409">
        <v>0</v>
      </c>
      <c r="DB263" s="409">
        <v>0</v>
      </c>
      <c r="DC263" s="409">
        <v>619.26813886981472</v>
      </c>
      <c r="DD263" s="409">
        <v>0</v>
      </c>
      <c r="DE263" s="409">
        <v>0</v>
      </c>
      <c r="DF263" s="409">
        <v>0</v>
      </c>
      <c r="DG263" s="409">
        <v>84.013517810521762</v>
      </c>
      <c r="DH263" s="409">
        <v>0</v>
      </c>
      <c r="DI263" s="409">
        <v>-10.079330770879096</v>
      </c>
      <c r="DJ263" s="409"/>
      <c r="DK263" s="409">
        <v>0</v>
      </c>
      <c r="DL263" s="409">
        <v>0</v>
      </c>
      <c r="DM263" s="409">
        <v>0</v>
      </c>
      <c r="DN263" s="409">
        <v>0</v>
      </c>
      <c r="DO263" s="409">
        <v>-3.1648861909210382</v>
      </c>
      <c r="DP263" s="409">
        <v>-5.6169330775394002</v>
      </c>
      <c r="DQ263" s="409">
        <v>0</v>
      </c>
      <c r="DR263" s="409">
        <v>-102.32187946011233</v>
      </c>
      <c r="DS263" s="409"/>
      <c r="DT263" s="409"/>
      <c r="DU263" s="409"/>
      <c r="DV263" s="409">
        <v>22774.359742378325</v>
      </c>
      <c r="DW263" s="409">
        <v>0</v>
      </c>
      <c r="DX263" s="409">
        <v>0</v>
      </c>
      <c r="DY263" s="409">
        <v>-4864.3683599999968</v>
      </c>
      <c r="DZ263" s="409">
        <v>469.88532000000123</v>
      </c>
      <c r="EA263" s="409">
        <v>0</v>
      </c>
      <c r="EB263" s="409">
        <v>0</v>
      </c>
      <c r="EC263" s="409">
        <v>-5220.4187792774792</v>
      </c>
      <c r="ED263" s="409">
        <v>0</v>
      </c>
      <c r="EE263" s="409">
        <v>0</v>
      </c>
      <c r="EF263" s="409">
        <v>0</v>
      </c>
      <c r="EG263" s="409">
        <v>0</v>
      </c>
      <c r="EH263" s="409">
        <v>0</v>
      </c>
      <c r="EI263" s="409">
        <v>0</v>
      </c>
      <c r="EJ263" s="409">
        <v>0</v>
      </c>
      <c r="EK263" s="409">
        <v>0</v>
      </c>
      <c r="EL263" s="409">
        <v>0</v>
      </c>
      <c r="EM263" s="409">
        <v>0</v>
      </c>
      <c r="EN263" s="409">
        <v>0</v>
      </c>
      <c r="EO263" s="409">
        <v>0</v>
      </c>
      <c r="EP263" s="409">
        <v>0</v>
      </c>
      <c r="EQ263" s="409">
        <v>0</v>
      </c>
      <c r="ER263" s="409">
        <v>0</v>
      </c>
      <c r="ES263" s="409">
        <v>0</v>
      </c>
      <c r="ET263" s="409">
        <v>0</v>
      </c>
      <c r="EU263" s="409">
        <v>0</v>
      </c>
      <c r="EV263" s="409">
        <v>254</v>
      </c>
      <c r="EW263" s="409">
        <v>0</v>
      </c>
      <c r="EX263" s="409">
        <v>0</v>
      </c>
      <c r="EY263" s="409">
        <v>0</v>
      </c>
      <c r="EZ263" s="409"/>
      <c r="FA263" s="409">
        <v>0</v>
      </c>
      <c r="FB263" s="409"/>
      <c r="FC263" s="409"/>
      <c r="FD263" s="409"/>
      <c r="FE263" s="409"/>
      <c r="FF263" s="409">
        <v>0</v>
      </c>
      <c r="FG263" s="409">
        <v>0</v>
      </c>
      <c r="FH263" s="409">
        <v>0</v>
      </c>
      <c r="FI263" s="409">
        <v>0</v>
      </c>
    </row>
    <row r="264" spans="1:165">
      <c r="A264" s="409">
        <v>262</v>
      </c>
      <c r="B264" s="409" t="s">
        <v>1035</v>
      </c>
      <c r="C264" s="409" t="s">
        <v>2244</v>
      </c>
      <c r="D264" s="409" t="s">
        <v>1994</v>
      </c>
      <c r="E264" s="409" t="s">
        <v>2260</v>
      </c>
      <c r="F264" s="409" t="s">
        <v>1323</v>
      </c>
      <c r="G264" s="409" t="s">
        <v>1323</v>
      </c>
      <c r="H264" s="409" t="s">
        <v>1323</v>
      </c>
      <c r="I264" s="409" t="s">
        <v>1323</v>
      </c>
      <c r="J264" s="409" t="s">
        <v>2245</v>
      </c>
      <c r="K264" s="835">
        <v>44562</v>
      </c>
      <c r="L264" s="409">
        <v>0</v>
      </c>
      <c r="M264" s="409">
        <v>0</v>
      </c>
      <c r="N264" s="409">
        <v>3.7850000000000001</v>
      </c>
      <c r="O264" s="409">
        <v>3.7850000000000001</v>
      </c>
      <c r="P264" s="409">
        <v>3.7850000000000001</v>
      </c>
      <c r="Q264" s="409">
        <v>3.7850000000000001</v>
      </c>
      <c r="R264" s="409"/>
      <c r="S264" s="409">
        <v>597.01</v>
      </c>
      <c r="T264" s="409">
        <v>243.39</v>
      </c>
      <c r="U264" s="409"/>
      <c r="V264" s="409">
        <v>3180.9140000000002</v>
      </c>
      <c r="W264" s="409">
        <v>3180.9140000000002</v>
      </c>
      <c r="X264" s="409">
        <v>2881.4448000000002</v>
      </c>
      <c r="Y264" s="409">
        <v>0</v>
      </c>
      <c r="Z264" s="409">
        <v>94.183962205772914</v>
      </c>
      <c r="AA264" s="409">
        <v>0</v>
      </c>
      <c r="AB264" s="409">
        <v>0</v>
      </c>
      <c r="AC264" s="409">
        <v>0</v>
      </c>
      <c r="AD264" s="409">
        <v>443.56061333307031</v>
      </c>
      <c r="AE264" s="409">
        <v>1551.9958162273947</v>
      </c>
      <c r="AF264" s="409">
        <v>921.22072157276159</v>
      </c>
      <c r="AG264" s="409">
        <v>0</v>
      </c>
      <c r="AH264" s="409">
        <v>0</v>
      </c>
      <c r="AI264" s="409">
        <v>0</v>
      </c>
      <c r="AJ264" s="409">
        <v>0</v>
      </c>
      <c r="AK264" s="409">
        <v>0</v>
      </c>
      <c r="AL264" s="409">
        <v>38.452158774188206</v>
      </c>
      <c r="AM264" s="409"/>
      <c r="AN264" s="409">
        <v>6.4983583252950021</v>
      </c>
      <c r="AO264" s="409">
        <v>0</v>
      </c>
      <c r="AP264" s="409">
        <v>0</v>
      </c>
      <c r="AQ264" s="409">
        <v>0</v>
      </c>
      <c r="AR264" s="409">
        <v>0</v>
      </c>
      <c r="AS264" s="409">
        <v>0</v>
      </c>
      <c r="AT264" s="409">
        <v>0</v>
      </c>
      <c r="AU264" s="409">
        <v>0</v>
      </c>
      <c r="AV264" s="409">
        <v>0</v>
      </c>
      <c r="AW264" s="409">
        <v>0</v>
      </c>
      <c r="AX264" s="409">
        <v>0</v>
      </c>
      <c r="AY264" s="409">
        <v>0</v>
      </c>
      <c r="AZ264" s="409">
        <v>0</v>
      </c>
      <c r="BA264" s="409"/>
      <c r="BB264" s="409">
        <v>0</v>
      </c>
      <c r="BC264" s="409">
        <v>0</v>
      </c>
      <c r="BD264" s="409">
        <v>0</v>
      </c>
      <c r="BE264" s="409">
        <v>0</v>
      </c>
      <c r="BF264" s="409">
        <v>0</v>
      </c>
      <c r="BG264" s="409">
        <v>124.97816154489472</v>
      </c>
      <c r="BH264" s="409">
        <v>0</v>
      </c>
      <c r="BI264" s="409">
        <v>0</v>
      </c>
      <c r="BJ264" s="409">
        <v>0</v>
      </c>
      <c r="BK264" s="409">
        <v>1139.6400000000001</v>
      </c>
      <c r="BL264" s="409">
        <v>3</v>
      </c>
      <c r="BM264" s="409"/>
      <c r="BN264" s="409"/>
      <c r="BO264" s="409"/>
      <c r="BP264" s="409"/>
      <c r="BQ264" s="409"/>
      <c r="BR264" s="409"/>
      <c r="BS264" s="409"/>
      <c r="BT264" s="409"/>
      <c r="BU264" s="409"/>
      <c r="BV264" s="409">
        <v>1046.1988831176564</v>
      </c>
      <c r="BW264" s="409"/>
      <c r="BX264" s="409"/>
      <c r="BY264" s="409"/>
      <c r="BZ264" s="409"/>
      <c r="CA264" s="409"/>
      <c r="CB264" s="409"/>
      <c r="CC264" s="409"/>
      <c r="CD264" s="409"/>
      <c r="CE264" s="409"/>
      <c r="CF264" s="409"/>
      <c r="CG264" s="409"/>
      <c r="CH264" s="409"/>
      <c r="CI264" s="409">
        <v>2885.2512000000002</v>
      </c>
      <c r="CJ264" s="409">
        <v>-295.69280000000072</v>
      </c>
      <c r="CK264" s="409"/>
      <c r="CL264" s="409"/>
      <c r="CM264" s="409"/>
      <c r="CN264" s="409"/>
      <c r="CO264" s="409">
        <v>-331.49029999999993</v>
      </c>
      <c r="CP264" s="409">
        <v>32.021100000000033</v>
      </c>
      <c r="CQ264" s="409">
        <v>31</v>
      </c>
      <c r="CR264" s="409">
        <v>56.297420096077076</v>
      </c>
      <c r="CS264" s="409">
        <v>0</v>
      </c>
      <c r="CT264" s="409">
        <v>0</v>
      </c>
      <c r="CU264" s="409">
        <v>0</v>
      </c>
      <c r="CV264" s="409">
        <v>0</v>
      </c>
      <c r="CW264" s="409">
        <v>0</v>
      </c>
      <c r="CX264" s="409">
        <v>0</v>
      </c>
      <c r="CY264" s="409">
        <v>0</v>
      </c>
      <c r="CZ264" s="409">
        <v>16.629361619975157</v>
      </c>
      <c r="DA264" s="409">
        <v>0</v>
      </c>
      <c r="DB264" s="409">
        <v>0</v>
      </c>
      <c r="DC264" s="409">
        <v>42.201035353826683</v>
      </c>
      <c r="DD264" s="409">
        <v>0</v>
      </c>
      <c r="DE264" s="409">
        <v>0</v>
      </c>
      <c r="DF264" s="409">
        <v>0</v>
      </c>
      <c r="DG264" s="409">
        <v>5.725237926484894</v>
      </c>
      <c r="DH264" s="409">
        <v>0</v>
      </c>
      <c r="DI264" s="409">
        <v>-0.68687240228614144</v>
      </c>
      <c r="DJ264" s="409"/>
      <c r="DK264" s="409">
        <v>0</v>
      </c>
      <c r="DL264" s="409">
        <v>0</v>
      </c>
      <c r="DM264" s="409">
        <v>0</v>
      </c>
      <c r="DN264" s="409">
        <v>0</v>
      </c>
      <c r="DO264" s="409">
        <v>-0.21567632120982694</v>
      </c>
      <c r="DP264" s="409">
        <v>-0.38277504768439474</v>
      </c>
      <c r="DQ264" s="409">
        <v>0</v>
      </c>
      <c r="DR264" s="409">
        <v>-6.9728910330295122</v>
      </c>
      <c r="DS264" s="409"/>
      <c r="DT264" s="409"/>
      <c r="DU264" s="409"/>
      <c r="DV264" s="409">
        <v>1551.9958162273947</v>
      </c>
      <c r="DW264" s="409">
        <v>0</v>
      </c>
      <c r="DX264" s="409">
        <v>0</v>
      </c>
      <c r="DY264" s="409">
        <v>-331.49029999999993</v>
      </c>
      <c r="DZ264" s="409">
        <v>32.021100000000047</v>
      </c>
      <c r="EA264" s="409">
        <v>0</v>
      </c>
      <c r="EB264" s="409">
        <v>0</v>
      </c>
      <c r="EC264" s="409">
        <v>-355.75393539241031</v>
      </c>
      <c r="ED264" s="409">
        <v>0</v>
      </c>
      <c r="EE264" s="409">
        <v>0</v>
      </c>
      <c r="EF264" s="409">
        <v>0</v>
      </c>
      <c r="EG264" s="409">
        <v>0</v>
      </c>
      <c r="EH264" s="409">
        <v>0</v>
      </c>
      <c r="EI264" s="409">
        <v>0</v>
      </c>
      <c r="EJ264" s="409">
        <v>0</v>
      </c>
      <c r="EK264" s="409">
        <v>0</v>
      </c>
      <c r="EL264" s="409">
        <v>0</v>
      </c>
      <c r="EM264" s="409">
        <v>0</v>
      </c>
      <c r="EN264" s="409">
        <v>0</v>
      </c>
      <c r="EO264" s="409">
        <v>0</v>
      </c>
      <c r="EP264" s="409">
        <v>0</v>
      </c>
      <c r="EQ264" s="409">
        <v>0</v>
      </c>
      <c r="ER264" s="409">
        <v>0</v>
      </c>
      <c r="ES264" s="409">
        <v>0</v>
      </c>
      <c r="ET264" s="409">
        <v>0</v>
      </c>
      <c r="EU264" s="409">
        <v>0</v>
      </c>
      <c r="EV264" s="409">
        <v>254</v>
      </c>
      <c r="EW264" s="409">
        <v>0</v>
      </c>
      <c r="EX264" s="409">
        <v>0</v>
      </c>
      <c r="EY264" s="409">
        <v>0</v>
      </c>
      <c r="EZ264" s="409"/>
      <c r="FA264" s="409">
        <v>0</v>
      </c>
      <c r="FB264" s="409"/>
      <c r="FC264" s="409"/>
      <c r="FD264" s="409"/>
      <c r="FE264" s="409"/>
      <c r="FF264" s="409">
        <v>0</v>
      </c>
      <c r="FG264" s="409">
        <v>0</v>
      </c>
      <c r="FH264" s="409">
        <v>0</v>
      </c>
      <c r="FI264" s="409">
        <v>0</v>
      </c>
    </row>
    <row r="265" spans="1:165">
      <c r="A265" s="409">
        <v>263</v>
      </c>
      <c r="B265" s="409" t="s">
        <v>1035</v>
      </c>
      <c r="C265" s="409" t="s">
        <v>2244</v>
      </c>
      <c r="D265" s="409" t="s">
        <v>2254</v>
      </c>
      <c r="E265" s="409" t="s">
        <v>973</v>
      </c>
      <c r="F265" s="409" t="s">
        <v>2261</v>
      </c>
      <c r="G265" s="409" t="s">
        <v>2262</v>
      </c>
      <c r="H265" s="409" t="s">
        <v>1323</v>
      </c>
      <c r="I265" s="409" t="s">
        <v>1323</v>
      </c>
      <c r="J265" s="409" t="s">
        <v>2245</v>
      </c>
      <c r="K265" s="835">
        <v>44562</v>
      </c>
      <c r="L265" s="409">
        <v>0</v>
      </c>
      <c r="M265" s="409">
        <v>0</v>
      </c>
      <c r="N265" s="409">
        <v>0</v>
      </c>
      <c r="O265" s="409">
        <v>0</v>
      </c>
      <c r="P265" s="409">
        <v>0</v>
      </c>
      <c r="Q265" s="409">
        <v>0</v>
      </c>
      <c r="R265" s="409"/>
      <c r="S265" s="409"/>
      <c r="T265" s="409"/>
      <c r="U265" s="409"/>
      <c r="V265" s="409"/>
      <c r="W265" s="409"/>
      <c r="X265" s="409"/>
      <c r="Y265" s="409"/>
      <c r="Z265" s="409"/>
      <c r="AA265" s="409">
        <v>0</v>
      </c>
      <c r="AB265" s="409"/>
      <c r="AC265" s="409"/>
      <c r="AD265" s="409"/>
      <c r="AE265" s="409"/>
      <c r="AF265" s="409"/>
      <c r="AG265" s="409"/>
      <c r="AH265" s="409"/>
      <c r="AI265" s="409"/>
      <c r="AJ265" s="409"/>
      <c r="AK265" s="409"/>
      <c r="AL265" s="409"/>
      <c r="AM265" s="409"/>
      <c r="AN265" s="409"/>
      <c r="AO265" s="409"/>
      <c r="AP265" s="409"/>
      <c r="AQ265" s="409"/>
      <c r="AR265" s="409"/>
      <c r="AS265" s="409"/>
      <c r="AT265" s="409"/>
      <c r="AU265" s="409"/>
      <c r="AV265" s="409"/>
      <c r="AW265" s="409"/>
      <c r="AX265" s="409"/>
      <c r="AY265" s="409"/>
      <c r="AZ265" s="409">
        <v>0</v>
      </c>
      <c r="BA265" s="409"/>
      <c r="BB265" s="409"/>
      <c r="BC265" s="409"/>
      <c r="BD265" s="409"/>
      <c r="BE265" s="409"/>
      <c r="BF265" s="409"/>
      <c r="BG265" s="409"/>
      <c r="BH265" s="409"/>
      <c r="BI265" s="409">
        <v>0</v>
      </c>
      <c r="BJ265" s="409">
        <v>0</v>
      </c>
      <c r="BK265" s="409">
        <v>0</v>
      </c>
      <c r="BL265" s="409">
        <v>8</v>
      </c>
      <c r="BM265" s="409"/>
      <c r="BN265" s="409"/>
      <c r="BO265" s="409"/>
      <c r="BP265" s="409"/>
      <c r="BQ265" s="409"/>
      <c r="BR265" s="409"/>
      <c r="BS265" s="409"/>
      <c r="BT265" s="409"/>
      <c r="BU265" s="409"/>
      <c r="BV265" s="409"/>
      <c r="BW265" s="409"/>
      <c r="BX265" s="409"/>
      <c r="BY265" s="409"/>
      <c r="BZ265" s="409"/>
      <c r="CA265" s="409"/>
      <c r="CB265" s="409"/>
      <c r="CC265" s="409"/>
      <c r="CD265" s="409"/>
      <c r="CE265" s="409"/>
      <c r="CF265" s="409"/>
      <c r="CG265" s="409"/>
      <c r="CH265" s="409"/>
      <c r="CI265" s="409"/>
      <c r="CJ265" s="409">
        <v>-0.03</v>
      </c>
      <c r="CK265" s="409"/>
      <c r="CL265" s="409"/>
      <c r="CM265" s="409"/>
      <c r="CN265" s="409"/>
      <c r="CO265" s="409">
        <v>0</v>
      </c>
      <c r="CP265" s="409">
        <v>0</v>
      </c>
      <c r="CQ265" s="409">
        <v>31</v>
      </c>
      <c r="CR265" s="409"/>
      <c r="CS265" s="409"/>
      <c r="CT265" s="409"/>
      <c r="CU265" s="409"/>
      <c r="CV265" s="409"/>
      <c r="CW265" s="409"/>
      <c r="CX265" s="409"/>
      <c r="CY265" s="409"/>
      <c r="CZ265" s="409"/>
      <c r="DA265" s="409"/>
      <c r="DB265" s="409"/>
      <c r="DC265" s="409"/>
      <c r="DD265" s="409"/>
      <c r="DE265" s="409"/>
      <c r="DF265" s="409"/>
      <c r="DG265" s="409"/>
      <c r="DH265" s="409"/>
      <c r="DI265" s="409"/>
      <c r="DJ265" s="409"/>
      <c r="DK265" s="409">
        <v>0</v>
      </c>
      <c r="DL265" s="409"/>
      <c r="DM265" s="409"/>
      <c r="DN265" s="409"/>
      <c r="DO265" s="409"/>
      <c r="DP265" s="409"/>
      <c r="DQ265" s="409"/>
      <c r="DR265" s="409"/>
      <c r="DS265" s="409"/>
      <c r="DT265" s="409"/>
      <c r="DU265" s="409"/>
      <c r="DV265" s="409"/>
      <c r="DW265" s="409"/>
      <c r="DX265" s="409"/>
      <c r="DY265" s="409"/>
      <c r="DZ265" s="409"/>
      <c r="EA265" s="409"/>
      <c r="EB265" s="409"/>
      <c r="EC265" s="409"/>
      <c r="ED265" s="409"/>
      <c r="EE265" s="409"/>
      <c r="EF265" s="409"/>
      <c r="EG265" s="409"/>
      <c r="EH265" s="409"/>
      <c r="EI265" s="409"/>
      <c r="EJ265" s="409"/>
      <c r="EK265" s="409"/>
      <c r="EL265" s="409"/>
      <c r="EM265" s="409"/>
      <c r="EN265" s="409"/>
      <c r="EO265" s="409"/>
      <c r="EP265" s="409"/>
      <c r="EQ265" s="409"/>
      <c r="ER265" s="409"/>
      <c r="ES265" s="409"/>
      <c r="ET265" s="409"/>
      <c r="EU265" s="409"/>
      <c r="EV265" s="409">
        <v>254</v>
      </c>
      <c r="EW265" s="409"/>
      <c r="EX265" s="409"/>
      <c r="EY265" s="409"/>
      <c r="EZ265" s="409"/>
      <c r="FA265" s="409">
        <v>0</v>
      </c>
      <c r="FB265" s="409"/>
      <c r="FC265" s="409"/>
      <c r="FD265" s="409"/>
      <c r="FE265" s="409"/>
      <c r="FF265" s="409">
        <v>0</v>
      </c>
      <c r="FG265" s="409">
        <v>0</v>
      </c>
      <c r="FH265" s="409">
        <v>0</v>
      </c>
      <c r="FI265" s="409">
        <v>0</v>
      </c>
    </row>
    <row r="266" spans="1:165">
      <c r="A266" s="409">
        <v>264</v>
      </c>
      <c r="B266" s="409" t="s">
        <v>1035</v>
      </c>
      <c r="C266" s="409" t="s">
        <v>2244</v>
      </c>
      <c r="D266" s="409" t="s">
        <v>2254</v>
      </c>
      <c r="E266" s="409" t="s">
        <v>973</v>
      </c>
      <c r="F266" s="409" t="s">
        <v>2261</v>
      </c>
      <c r="G266" s="409" t="s">
        <v>2262</v>
      </c>
      <c r="H266" s="409" t="s">
        <v>1323</v>
      </c>
      <c r="I266" s="409" t="s">
        <v>1323</v>
      </c>
      <c r="J266" s="409" t="s">
        <v>2245</v>
      </c>
      <c r="K266" s="835">
        <v>44562</v>
      </c>
      <c r="L266" s="409">
        <v>0</v>
      </c>
      <c r="M266" s="409">
        <v>0</v>
      </c>
      <c r="N266" s="409">
        <v>6.3410000000000002</v>
      </c>
      <c r="O266" s="409">
        <v>6.3410000000000002</v>
      </c>
      <c r="P266" s="409">
        <v>6.3410000000000002</v>
      </c>
      <c r="Q266" s="409">
        <v>6.3410000000000002</v>
      </c>
      <c r="R266" s="409"/>
      <c r="S266" s="409">
        <v>597.01</v>
      </c>
      <c r="T266" s="409">
        <v>243.39</v>
      </c>
      <c r="U266" s="409"/>
      <c r="V266" s="409">
        <v>5328.9763999999996</v>
      </c>
      <c r="W266" s="409">
        <v>5328.9763999999996</v>
      </c>
      <c r="X266" s="409">
        <v>4827.2764800000004</v>
      </c>
      <c r="Y266" s="409">
        <v>0</v>
      </c>
      <c r="Z266" s="409">
        <v>157.78613060681798</v>
      </c>
      <c r="AA266" s="409">
        <v>0</v>
      </c>
      <c r="AB266" s="409">
        <v>0</v>
      </c>
      <c r="AC266" s="409">
        <v>0</v>
      </c>
      <c r="AD266" s="409">
        <v>743.09586503170374</v>
      </c>
      <c r="AE266" s="409">
        <v>2600.0542855212443</v>
      </c>
      <c r="AF266" s="409">
        <v>1543.318519284777</v>
      </c>
      <c r="AG266" s="409">
        <v>0</v>
      </c>
      <c r="AH266" s="409">
        <v>0</v>
      </c>
      <c r="AI266" s="409">
        <v>0</v>
      </c>
      <c r="AJ266" s="409">
        <v>0</v>
      </c>
      <c r="AK266" s="409">
        <v>0</v>
      </c>
      <c r="AL266" s="409">
        <v>64.418794923943835</v>
      </c>
      <c r="AM266" s="409"/>
      <c r="AN266" s="409">
        <v>10.886681675216805</v>
      </c>
      <c r="AO266" s="409">
        <v>0</v>
      </c>
      <c r="AP266" s="409">
        <v>0</v>
      </c>
      <c r="AQ266" s="409">
        <v>0</v>
      </c>
      <c r="AR266" s="409">
        <v>0</v>
      </c>
      <c r="AS266" s="409">
        <v>0</v>
      </c>
      <c r="AT266" s="409">
        <v>0</v>
      </c>
      <c r="AU266" s="409">
        <v>0</v>
      </c>
      <c r="AV266" s="409">
        <v>0</v>
      </c>
      <c r="AW266" s="409">
        <v>0</v>
      </c>
      <c r="AX266" s="409">
        <v>0</v>
      </c>
      <c r="AY266" s="409">
        <v>0</v>
      </c>
      <c r="AZ266" s="409">
        <v>0</v>
      </c>
      <c r="BA266" s="409"/>
      <c r="BB266" s="409">
        <v>0</v>
      </c>
      <c r="BC266" s="409">
        <v>0</v>
      </c>
      <c r="BD266" s="409">
        <v>0</v>
      </c>
      <c r="BE266" s="409">
        <v>0</v>
      </c>
      <c r="BF266" s="409">
        <v>0</v>
      </c>
      <c r="BG266" s="409">
        <v>209.37556733320406</v>
      </c>
      <c r="BH266" s="409">
        <v>0</v>
      </c>
      <c r="BI266" s="409">
        <v>0</v>
      </c>
      <c r="BJ266" s="409">
        <v>0</v>
      </c>
      <c r="BK266" s="409">
        <v>0</v>
      </c>
      <c r="BL266" s="409">
        <v>0</v>
      </c>
      <c r="BM266" s="409"/>
      <c r="BN266" s="409"/>
      <c r="BO266" s="409"/>
      <c r="BP266" s="409"/>
      <c r="BQ266" s="409"/>
      <c r="BR266" s="409">
        <v>579.31376</v>
      </c>
      <c r="BS266" s="409"/>
      <c r="BT266" s="409"/>
      <c r="BU266" s="409"/>
      <c r="BV266" s="409">
        <v>1752.6940866179812</v>
      </c>
      <c r="BW266" s="409"/>
      <c r="BX266" s="409"/>
      <c r="BY266" s="409"/>
      <c r="BZ266" s="409"/>
      <c r="CA266" s="409"/>
      <c r="CB266" s="409"/>
      <c r="CC266" s="409"/>
      <c r="CD266" s="409"/>
      <c r="CE266" s="409"/>
      <c r="CF266" s="409"/>
      <c r="CG266" s="409"/>
      <c r="CH266" s="409"/>
      <c r="CI266" s="409">
        <v>4247.2928000000002</v>
      </c>
      <c r="CJ266" s="409">
        <v>-442.22375000000102</v>
      </c>
      <c r="CK266" s="409"/>
      <c r="CL266" s="409"/>
      <c r="CM266" s="409"/>
      <c r="CN266" s="409"/>
      <c r="CO266" s="409">
        <v>-555.3447799999999</v>
      </c>
      <c r="CP266" s="409">
        <v>53.644860000000051</v>
      </c>
      <c r="CQ266" s="409">
        <v>31</v>
      </c>
      <c r="CR266" s="409">
        <v>94.314911711815512</v>
      </c>
      <c r="CS266" s="409">
        <v>0</v>
      </c>
      <c r="CT266" s="409">
        <v>0</v>
      </c>
      <c r="CU266" s="409">
        <v>0</v>
      </c>
      <c r="CV266" s="409">
        <v>0</v>
      </c>
      <c r="CW266" s="409">
        <v>0</v>
      </c>
      <c r="CX266" s="409">
        <v>0</v>
      </c>
      <c r="CY266" s="409">
        <v>0</v>
      </c>
      <c r="CZ266" s="409">
        <v>27.859123390293917</v>
      </c>
      <c r="DA266" s="409">
        <v>0</v>
      </c>
      <c r="DB266" s="409">
        <v>0</v>
      </c>
      <c r="DC266" s="409">
        <v>70.699277458022607</v>
      </c>
      <c r="DD266" s="409">
        <v>0</v>
      </c>
      <c r="DE266" s="409">
        <v>0</v>
      </c>
      <c r="DF266" s="409">
        <v>0</v>
      </c>
      <c r="DG266" s="409">
        <v>9.591475215809993</v>
      </c>
      <c r="DH266" s="409">
        <v>0</v>
      </c>
      <c r="DI266" s="409">
        <v>-1.150715430091509</v>
      </c>
      <c r="DJ266" s="409"/>
      <c r="DK266" s="409">
        <v>0</v>
      </c>
      <c r="DL266" s="409">
        <v>0</v>
      </c>
      <c r="DM266" s="409">
        <v>0</v>
      </c>
      <c r="DN266" s="409">
        <v>0</v>
      </c>
      <c r="DO266" s="409">
        <v>-0.36132194261334405</v>
      </c>
      <c r="DP266" s="409">
        <v>-0.64126197552621989</v>
      </c>
      <c r="DQ266" s="409">
        <v>0</v>
      </c>
      <c r="DR266" s="409">
        <v>-11.681665004079296</v>
      </c>
      <c r="DS266" s="409"/>
      <c r="DT266" s="409"/>
      <c r="DU266" s="409"/>
      <c r="DV266" s="409">
        <v>2600.0542855212443</v>
      </c>
      <c r="DW266" s="409">
        <v>0</v>
      </c>
      <c r="DX266" s="409">
        <v>0</v>
      </c>
      <c r="DY266" s="409">
        <v>-555.3447799999999</v>
      </c>
      <c r="DZ266" s="409">
        <v>53.644859999999881</v>
      </c>
      <c r="EA266" s="409">
        <v>0</v>
      </c>
      <c r="EB266" s="409">
        <v>0</v>
      </c>
      <c r="EC266" s="409">
        <v>-595.99358106295222</v>
      </c>
      <c r="ED266" s="409">
        <v>0</v>
      </c>
      <c r="EE266" s="409">
        <v>0</v>
      </c>
      <c r="EF266" s="409">
        <v>0</v>
      </c>
      <c r="EG266" s="409">
        <v>0</v>
      </c>
      <c r="EH266" s="409">
        <v>0</v>
      </c>
      <c r="EI266" s="409">
        <v>0</v>
      </c>
      <c r="EJ266" s="409">
        <v>0</v>
      </c>
      <c r="EK266" s="409">
        <v>0</v>
      </c>
      <c r="EL266" s="409">
        <v>0</v>
      </c>
      <c r="EM266" s="409">
        <v>0</v>
      </c>
      <c r="EN266" s="409">
        <v>0</v>
      </c>
      <c r="EO266" s="409">
        <v>0</v>
      </c>
      <c r="EP266" s="409">
        <v>0</v>
      </c>
      <c r="EQ266" s="409">
        <v>0</v>
      </c>
      <c r="ER266" s="409">
        <v>0</v>
      </c>
      <c r="ES266" s="409">
        <v>0</v>
      </c>
      <c r="ET266" s="409">
        <v>0</v>
      </c>
      <c r="EU266" s="409">
        <v>0</v>
      </c>
      <c r="EV266" s="409">
        <v>254</v>
      </c>
      <c r="EW266" s="409">
        <v>0</v>
      </c>
      <c r="EX266" s="409">
        <v>0</v>
      </c>
      <c r="EY266" s="409">
        <v>0</v>
      </c>
      <c r="EZ266" s="409"/>
      <c r="FA266" s="409">
        <v>0</v>
      </c>
      <c r="FB266" s="409"/>
      <c r="FC266" s="409"/>
      <c r="FD266" s="409"/>
      <c r="FE266" s="409"/>
      <c r="FF266" s="409">
        <v>0</v>
      </c>
      <c r="FG266" s="409">
        <v>0</v>
      </c>
      <c r="FH266" s="409">
        <v>0</v>
      </c>
      <c r="FI266" s="409">
        <v>0</v>
      </c>
    </row>
    <row r="267" spans="1:165">
      <c r="A267" s="409">
        <v>265</v>
      </c>
      <c r="B267" s="409" t="s">
        <v>1035</v>
      </c>
      <c r="C267" s="409" t="s">
        <v>2244</v>
      </c>
      <c r="D267" s="409" t="s">
        <v>2254</v>
      </c>
      <c r="E267" s="409" t="s">
        <v>973</v>
      </c>
      <c r="F267" s="409" t="s">
        <v>2261</v>
      </c>
      <c r="G267" s="409" t="s">
        <v>2263</v>
      </c>
      <c r="H267" s="409" t="s">
        <v>1323</v>
      </c>
      <c r="I267" s="409" t="s">
        <v>1323</v>
      </c>
      <c r="J267" s="409" t="s">
        <v>2245</v>
      </c>
      <c r="K267" s="835">
        <v>44562</v>
      </c>
      <c r="L267" s="409">
        <v>0</v>
      </c>
      <c r="M267" s="409">
        <v>0</v>
      </c>
      <c r="N267" s="409">
        <v>8.2620000000000005</v>
      </c>
      <c r="O267" s="409">
        <v>2.2307399999999999</v>
      </c>
      <c r="P267" s="409">
        <v>8.2620000000000005</v>
      </c>
      <c r="Q267" s="409">
        <v>2.2307399999999999</v>
      </c>
      <c r="R267" s="409"/>
      <c r="S267" s="409">
        <v>597.01</v>
      </c>
      <c r="T267" s="409">
        <v>243.39</v>
      </c>
      <c r="U267" s="409"/>
      <c r="V267" s="409">
        <v>6943.3847999999998</v>
      </c>
      <c r="W267" s="409">
        <v>6943.3847999999998</v>
      </c>
      <c r="X267" s="409">
        <v>6289.6953600000006</v>
      </c>
      <c r="Y267" s="409">
        <v>0</v>
      </c>
      <c r="Z267" s="409">
        <v>205.58729081746259</v>
      </c>
      <c r="AA267" s="409">
        <v>0</v>
      </c>
      <c r="AB267" s="409">
        <v>0</v>
      </c>
      <c r="AC267" s="409">
        <v>0</v>
      </c>
      <c r="AD267" s="409">
        <v>968.21606006811805</v>
      </c>
      <c r="AE267" s="409">
        <v>3387.7382915906833</v>
      </c>
      <c r="AF267" s="409">
        <v>2010.8654165479936</v>
      </c>
      <c r="AG267" s="409">
        <v>0</v>
      </c>
      <c r="AH267" s="409">
        <v>0</v>
      </c>
      <c r="AI267" s="409">
        <v>0</v>
      </c>
      <c r="AJ267" s="409">
        <v>0</v>
      </c>
      <c r="AK267" s="409">
        <v>0</v>
      </c>
      <c r="AL267" s="409">
        <v>83.934408399562201</v>
      </c>
      <c r="AM267" s="409"/>
      <c r="AN267" s="409">
        <v>14.184791673338786</v>
      </c>
      <c r="AO267" s="409">
        <v>0</v>
      </c>
      <c r="AP267" s="409">
        <v>0</v>
      </c>
      <c r="AQ267" s="409">
        <v>0</v>
      </c>
      <c r="AR267" s="409">
        <v>0</v>
      </c>
      <c r="AS267" s="409">
        <v>0</v>
      </c>
      <c r="AT267" s="409">
        <v>0</v>
      </c>
      <c r="AU267" s="409">
        <v>0</v>
      </c>
      <c r="AV267" s="409">
        <v>0</v>
      </c>
      <c r="AW267" s="409">
        <v>0</v>
      </c>
      <c r="AX267" s="409">
        <v>0</v>
      </c>
      <c r="AY267" s="409">
        <v>0</v>
      </c>
      <c r="AZ267" s="409">
        <v>0</v>
      </c>
      <c r="BA267" s="409"/>
      <c r="BB267" s="409">
        <v>0</v>
      </c>
      <c r="BC267" s="409">
        <v>0</v>
      </c>
      <c r="BD267" s="409">
        <v>0</v>
      </c>
      <c r="BE267" s="409">
        <v>0</v>
      </c>
      <c r="BF267" s="409">
        <v>0</v>
      </c>
      <c r="BG267" s="409">
        <v>272.80569899178869</v>
      </c>
      <c r="BH267" s="409">
        <v>0</v>
      </c>
      <c r="BI267" s="409">
        <v>0</v>
      </c>
      <c r="BJ267" s="409">
        <v>0</v>
      </c>
      <c r="BK267" s="409">
        <v>0</v>
      </c>
      <c r="BL267" s="409">
        <v>0</v>
      </c>
      <c r="BM267" s="409"/>
      <c r="BN267" s="409"/>
      <c r="BO267" s="409"/>
      <c r="BP267" s="409"/>
      <c r="BQ267" s="409"/>
      <c r="BR267" s="409"/>
      <c r="BS267" s="409">
        <v>4795.2780192</v>
      </c>
      <c r="BT267" s="409"/>
      <c r="BU267" s="409"/>
      <c r="BV267" s="409">
        <v>2283.6711155397825</v>
      </c>
      <c r="BW267" s="409"/>
      <c r="BX267" s="409"/>
      <c r="BY267" s="409"/>
      <c r="BZ267" s="409"/>
      <c r="CA267" s="409"/>
      <c r="CB267" s="409"/>
      <c r="CC267" s="409"/>
      <c r="CD267" s="409"/>
      <c r="CE267" s="409"/>
      <c r="CF267" s="409"/>
      <c r="CG267" s="409"/>
      <c r="CH267" s="409"/>
      <c r="CI267" s="409">
        <v>1493.9216000000001</v>
      </c>
      <c r="CJ267" s="409">
        <v>-155.85216699999978</v>
      </c>
      <c r="CK267" s="409"/>
      <c r="CL267" s="409"/>
      <c r="CM267" s="409"/>
      <c r="CN267" s="409"/>
      <c r="CO267" s="409">
        <v>-723.58595999999989</v>
      </c>
      <c r="CP267" s="409">
        <v>69.896520000000066</v>
      </c>
      <c r="CQ267" s="409">
        <v>31</v>
      </c>
      <c r="CR267" s="409">
        <v>122.88752571566465</v>
      </c>
      <c r="CS267" s="409">
        <v>0</v>
      </c>
      <c r="CT267" s="409">
        <v>0</v>
      </c>
      <c r="CU267" s="409">
        <v>0</v>
      </c>
      <c r="CV267" s="409">
        <v>0</v>
      </c>
      <c r="CW267" s="409">
        <v>0</v>
      </c>
      <c r="CX267" s="409">
        <v>0</v>
      </c>
      <c r="CY267" s="409">
        <v>0</v>
      </c>
      <c r="CZ267" s="409">
        <v>36.299018680114955</v>
      </c>
      <c r="DA267" s="409">
        <v>0</v>
      </c>
      <c r="DB267" s="409">
        <v>0</v>
      </c>
      <c r="DC267" s="409">
        <v>92.117557224126131</v>
      </c>
      <c r="DD267" s="409">
        <v>0</v>
      </c>
      <c r="DE267" s="409">
        <v>0</v>
      </c>
      <c r="DF267" s="409">
        <v>0</v>
      </c>
      <c r="DG267" s="409">
        <v>12.497203632395838</v>
      </c>
      <c r="DH267" s="409">
        <v>0</v>
      </c>
      <c r="DI267" s="409">
        <v>-1.4993235898779744</v>
      </c>
      <c r="DJ267" s="409"/>
      <c r="DK267" s="409">
        <v>0</v>
      </c>
      <c r="DL267" s="409">
        <v>0</v>
      </c>
      <c r="DM267" s="409">
        <v>0</v>
      </c>
      <c r="DN267" s="409">
        <v>0</v>
      </c>
      <c r="DO267" s="409">
        <v>-0.47078408608601308</v>
      </c>
      <c r="DP267" s="409">
        <v>-0.83553168929153543</v>
      </c>
      <c r="DQ267" s="409">
        <v>0</v>
      </c>
      <c r="DR267" s="409">
        <v>-15.220614455717257</v>
      </c>
      <c r="DS267" s="409"/>
      <c r="DT267" s="409"/>
      <c r="DU267" s="409"/>
      <c r="DV267" s="409">
        <v>3387.7382915906833</v>
      </c>
      <c r="DW267" s="409">
        <v>0</v>
      </c>
      <c r="DX267" s="409">
        <v>0</v>
      </c>
      <c r="DY267" s="409">
        <v>-723.58595999999943</v>
      </c>
      <c r="DZ267" s="409">
        <v>69.896520000000237</v>
      </c>
      <c r="EA267" s="409">
        <v>0</v>
      </c>
      <c r="EB267" s="409">
        <v>0</v>
      </c>
      <c r="EC267" s="409">
        <v>-776.54927720266733</v>
      </c>
      <c r="ED267" s="409">
        <v>0</v>
      </c>
      <c r="EE267" s="409">
        <v>0</v>
      </c>
      <c r="EF267" s="409">
        <v>0</v>
      </c>
      <c r="EG267" s="409">
        <v>0</v>
      </c>
      <c r="EH267" s="409">
        <v>0</v>
      </c>
      <c r="EI267" s="409">
        <v>0</v>
      </c>
      <c r="EJ267" s="409">
        <v>0</v>
      </c>
      <c r="EK267" s="409">
        <v>0</v>
      </c>
      <c r="EL267" s="409">
        <v>0</v>
      </c>
      <c r="EM267" s="409">
        <v>0</v>
      </c>
      <c r="EN267" s="409">
        <v>0</v>
      </c>
      <c r="EO267" s="409">
        <v>0</v>
      </c>
      <c r="EP267" s="409">
        <v>0</v>
      </c>
      <c r="EQ267" s="409">
        <v>0</v>
      </c>
      <c r="ER267" s="409">
        <v>0</v>
      </c>
      <c r="ES267" s="409">
        <v>0</v>
      </c>
      <c r="ET267" s="409">
        <v>0</v>
      </c>
      <c r="EU267" s="409">
        <v>0</v>
      </c>
      <c r="EV267" s="409">
        <v>254</v>
      </c>
      <c r="EW267" s="409">
        <v>0</v>
      </c>
      <c r="EX267" s="409">
        <v>0</v>
      </c>
      <c r="EY267" s="409">
        <v>0</v>
      </c>
      <c r="EZ267" s="409"/>
      <c r="FA267" s="409">
        <v>0</v>
      </c>
      <c r="FB267" s="409"/>
      <c r="FC267" s="409"/>
      <c r="FD267" s="409"/>
      <c r="FE267" s="409"/>
      <c r="FF267" s="409">
        <v>0</v>
      </c>
      <c r="FG267" s="409">
        <v>0</v>
      </c>
      <c r="FH267" s="409">
        <v>0</v>
      </c>
      <c r="FI267" s="409">
        <v>0</v>
      </c>
    </row>
    <row r="268" spans="1:165">
      <c r="A268" s="409">
        <v>266</v>
      </c>
      <c r="B268" s="409" t="s">
        <v>1035</v>
      </c>
      <c r="C268" s="409" t="s">
        <v>2244</v>
      </c>
      <c r="D268" s="409" t="s">
        <v>1991</v>
      </c>
      <c r="E268" s="409" t="s">
        <v>968</v>
      </c>
      <c r="F268" s="409" t="s">
        <v>968</v>
      </c>
      <c r="G268" s="409" t="s">
        <v>1323</v>
      </c>
      <c r="H268" s="409" t="s">
        <v>1323</v>
      </c>
      <c r="I268" s="409" t="s">
        <v>1323</v>
      </c>
      <c r="J268" s="409" t="s">
        <v>2245</v>
      </c>
      <c r="K268" s="835">
        <v>44593</v>
      </c>
      <c r="L268" s="409">
        <v>0</v>
      </c>
      <c r="M268" s="409">
        <v>0</v>
      </c>
      <c r="N268" s="409">
        <v>202.458</v>
      </c>
      <c r="O268" s="409">
        <v>202.458</v>
      </c>
      <c r="P268" s="409">
        <v>202.458</v>
      </c>
      <c r="Q268" s="409">
        <v>202.458</v>
      </c>
      <c r="R268" s="409"/>
      <c r="S268" s="409">
        <v>597.01</v>
      </c>
      <c r="T268" s="409">
        <v>243.39</v>
      </c>
      <c r="U268" s="409"/>
      <c r="V268" s="409">
        <v>170145.70319999999</v>
      </c>
      <c r="W268" s="409">
        <v>170145.70319999999</v>
      </c>
      <c r="X268" s="409">
        <v>154127.22623999999</v>
      </c>
      <c r="Y268" s="409">
        <v>0</v>
      </c>
      <c r="Z268" s="409">
        <v>5037.8590806489756</v>
      </c>
      <c r="AA268" s="409">
        <v>0</v>
      </c>
      <c r="AB268" s="409">
        <v>0</v>
      </c>
      <c r="AC268" s="409">
        <v>0</v>
      </c>
      <c r="AD268" s="409">
        <v>23725.863845227672</v>
      </c>
      <c r="AE268" s="409">
        <v>83015.579646437487</v>
      </c>
      <c r="AF268" s="409">
        <v>49275.694807973094</v>
      </c>
      <c r="AG268" s="409">
        <v>0</v>
      </c>
      <c r="AH268" s="409">
        <v>0</v>
      </c>
      <c r="AI268" s="409">
        <v>0</v>
      </c>
      <c r="AJ268" s="409">
        <v>0</v>
      </c>
      <c r="AK268" s="409">
        <v>0</v>
      </c>
      <c r="AL268" s="409">
        <v>2056.7892103314648</v>
      </c>
      <c r="AM268" s="409"/>
      <c r="AN268" s="409">
        <v>347.59435398218636</v>
      </c>
      <c r="AO268" s="409">
        <v>0</v>
      </c>
      <c r="AP268" s="409">
        <v>0</v>
      </c>
      <c r="AQ268" s="409">
        <v>0</v>
      </c>
      <c r="AR268" s="409">
        <v>0</v>
      </c>
      <c r="AS268" s="409">
        <v>0</v>
      </c>
      <c r="AT268" s="409">
        <v>0</v>
      </c>
      <c r="AU268" s="409">
        <v>0</v>
      </c>
      <c r="AV268" s="409">
        <v>0</v>
      </c>
      <c r="AW268" s="409">
        <v>0</v>
      </c>
      <c r="AX268" s="409">
        <v>0</v>
      </c>
      <c r="AY268" s="409">
        <v>0</v>
      </c>
      <c r="AZ268" s="409">
        <v>0</v>
      </c>
      <c r="BA268" s="409"/>
      <c r="BB268" s="409">
        <v>0</v>
      </c>
      <c r="BC268" s="409">
        <v>0</v>
      </c>
      <c r="BD268" s="409">
        <v>0</v>
      </c>
      <c r="BE268" s="409">
        <v>0</v>
      </c>
      <c r="BF268" s="409">
        <v>0</v>
      </c>
      <c r="BG268" s="409">
        <v>6685.02737914301</v>
      </c>
      <c r="BH268" s="409">
        <v>0</v>
      </c>
      <c r="BI268" s="409">
        <v>46.81</v>
      </c>
      <c r="BJ268" s="409">
        <v>216.63</v>
      </c>
      <c r="BK268" s="409">
        <v>1656.75</v>
      </c>
      <c r="BL268" s="409">
        <v>1842</v>
      </c>
      <c r="BM268" s="409"/>
      <c r="BN268" s="409"/>
      <c r="BO268" s="409"/>
      <c r="BP268" s="409"/>
      <c r="BQ268" s="409"/>
      <c r="BR268" s="409"/>
      <c r="BS268" s="409"/>
      <c r="BT268" s="409"/>
      <c r="BU268" s="409"/>
      <c r="BV268" s="409">
        <v>55960.722187116102</v>
      </c>
      <c r="BW268" s="409"/>
      <c r="BX268" s="409"/>
      <c r="BY268" s="409"/>
      <c r="BZ268" s="409"/>
      <c r="CA268" s="409"/>
      <c r="CB268" s="409"/>
      <c r="CC268" s="409"/>
      <c r="CD268" s="409"/>
      <c r="CE268" s="409"/>
      <c r="CF268" s="409"/>
      <c r="CG268" s="409"/>
      <c r="CH268" s="409"/>
      <c r="CI268" s="409">
        <v>154128.7488</v>
      </c>
      <c r="CJ268" s="409">
        <v>-16016.984400000016</v>
      </c>
      <c r="CK268" s="409"/>
      <c r="CL268" s="409"/>
      <c r="CM268" s="409"/>
      <c r="CN268" s="409"/>
      <c r="CO268" s="409">
        <v>-17731.271639999995</v>
      </c>
      <c r="CP268" s="409">
        <v>1712.7946800000016</v>
      </c>
      <c r="CQ268" s="409">
        <v>29</v>
      </c>
      <c r="CR268" s="409">
        <v>3011.3244591311959</v>
      </c>
      <c r="CS268" s="409">
        <v>0</v>
      </c>
      <c r="CT268" s="409">
        <v>0</v>
      </c>
      <c r="CU268" s="409">
        <v>0</v>
      </c>
      <c r="CV268" s="409">
        <v>0</v>
      </c>
      <c r="CW268" s="409">
        <v>0</v>
      </c>
      <c r="CX268" s="409">
        <v>0</v>
      </c>
      <c r="CY268" s="409">
        <v>0</v>
      </c>
      <c r="CZ268" s="409">
        <v>889.49730379311586</v>
      </c>
      <c r="DA268" s="409">
        <v>0</v>
      </c>
      <c r="DB268" s="409">
        <v>0</v>
      </c>
      <c r="DC268" s="409">
        <v>2257.3149843236606</v>
      </c>
      <c r="DD268" s="409">
        <v>0</v>
      </c>
      <c r="DE268" s="409">
        <v>0</v>
      </c>
      <c r="DF268" s="409">
        <v>0</v>
      </c>
      <c r="DG268" s="409">
        <v>306.24048087722076</v>
      </c>
      <c r="DH268" s="409">
        <v>0</v>
      </c>
      <c r="DI268" s="409">
        <v>-36.740505369100902</v>
      </c>
      <c r="DJ268" s="409"/>
      <c r="DK268" s="409">
        <v>0</v>
      </c>
      <c r="DL268" s="409">
        <v>0</v>
      </c>
      <c r="DM268" s="409">
        <v>0</v>
      </c>
      <c r="DN268" s="409">
        <v>0</v>
      </c>
      <c r="DO268" s="409">
        <v>-11.53643240145243</v>
      </c>
      <c r="DP268" s="409">
        <v>-20.474470437011121</v>
      </c>
      <c r="DQ268" s="409">
        <v>0</v>
      </c>
      <c r="DR268" s="409">
        <v>-372.97690165524148</v>
      </c>
      <c r="DS268" s="409"/>
      <c r="DT268" s="409"/>
      <c r="DU268" s="409"/>
      <c r="DV268" s="409">
        <v>83015.579646437487</v>
      </c>
      <c r="DW268" s="409">
        <v>0</v>
      </c>
      <c r="DX268" s="409">
        <v>0</v>
      </c>
      <c r="DY268" s="409">
        <v>-17731.271640000006</v>
      </c>
      <c r="DZ268" s="409">
        <v>1712.7946799999991</v>
      </c>
      <c r="EA268" s="409">
        <v>0</v>
      </c>
      <c r="EB268" s="409">
        <v>0</v>
      </c>
      <c r="EC268" s="409">
        <v>-19029.122919861729</v>
      </c>
      <c r="ED268" s="409">
        <v>0</v>
      </c>
      <c r="EE268" s="409">
        <v>0</v>
      </c>
      <c r="EF268" s="409">
        <v>0</v>
      </c>
      <c r="EG268" s="409">
        <v>0</v>
      </c>
      <c r="EH268" s="409">
        <v>0</v>
      </c>
      <c r="EI268" s="409">
        <v>0</v>
      </c>
      <c r="EJ268" s="409">
        <v>0</v>
      </c>
      <c r="EK268" s="409">
        <v>0</v>
      </c>
      <c r="EL268" s="409">
        <v>0</v>
      </c>
      <c r="EM268" s="409">
        <v>0</v>
      </c>
      <c r="EN268" s="409">
        <v>0</v>
      </c>
      <c r="EO268" s="409">
        <v>0</v>
      </c>
      <c r="EP268" s="409">
        <v>0</v>
      </c>
      <c r="EQ268" s="409">
        <v>0</v>
      </c>
      <c r="ER268" s="409">
        <v>0</v>
      </c>
      <c r="ES268" s="409">
        <v>0</v>
      </c>
      <c r="ET268" s="409">
        <v>0</v>
      </c>
      <c r="EU268" s="409">
        <v>0</v>
      </c>
      <c r="EV268" s="409">
        <v>254</v>
      </c>
      <c r="EW268" s="409">
        <v>0</v>
      </c>
      <c r="EX268" s="409">
        <v>0</v>
      </c>
      <c r="EY268" s="409">
        <v>0</v>
      </c>
      <c r="EZ268" s="409"/>
      <c r="FA268" s="409">
        <v>0</v>
      </c>
      <c r="FB268" s="409"/>
      <c r="FC268" s="409"/>
      <c r="FD268" s="409"/>
      <c r="FE268" s="409"/>
      <c r="FF268" s="409">
        <v>0</v>
      </c>
      <c r="FG268" s="409">
        <v>0</v>
      </c>
      <c r="FH268" s="409">
        <v>0</v>
      </c>
      <c r="FI268" s="409">
        <v>0</v>
      </c>
    </row>
    <row r="269" spans="1:165">
      <c r="A269" s="409">
        <v>267</v>
      </c>
      <c r="B269" s="409" t="s">
        <v>2246</v>
      </c>
      <c r="C269" s="409" t="s">
        <v>2244</v>
      </c>
      <c r="D269" s="409" t="s">
        <v>1991</v>
      </c>
      <c r="E269" s="409" t="s">
        <v>968</v>
      </c>
      <c r="F269" s="409" t="s">
        <v>968</v>
      </c>
      <c r="G269" s="409" t="s">
        <v>1323</v>
      </c>
      <c r="H269" s="409" t="s">
        <v>1323</v>
      </c>
      <c r="I269" s="409" t="s">
        <v>1323</v>
      </c>
      <c r="J269" s="409" t="s">
        <v>2245</v>
      </c>
      <c r="K269" s="835">
        <v>44593</v>
      </c>
      <c r="L269" s="409">
        <v>0</v>
      </c>
      <c r="M269" s="409">
        <v>0</v>
      </c>
      <c r="N269" s="409">
        <v>3.5569999999999999</v>
      </c>
      <c r="O269" s="409">
        <v>3.5569999999999999</v>
      </c>
      <c r="P269" s="409">
        <v>3.5569999999999999</v>
      </c>
      <c r="Q269" s="409">
        <v>3.5569999999999999</v>
      </c>
      <c r="R269" s="409"/>
      <c r="S269" s="409">
        <v>597.01</v>
      </c>
      <c r="T269" s="409">
        <v>243.39</v>
      </c>
      <c r="U269" s="409"/>
      <c r="V269" s="409">
        <v>2989.3027999999999</v>
      </c>
      <c r="W269" s="409">
        <v>2989.3027999999999</v>
      </c>
      <c r="X269" s="409">
        <v>2707.8729599999997</v>
      </c>
      <c r="Y269" s="409">
        <v>0</v>
      </c>
      <c r="Z269" s="409">
        <v>88.510529343707859</v>
      </c>
      <c r="AA269" s="409">
        <v>0</v>
      </c>
      <c r="AB269" s="409">
        <v>0</v>
      </c>
      <c r="AC269" s="409">
        <v>0</v>
      </c>
      <c r="AD269" s="409">
        <v>416.84150637403724</v>
      </c>
      <c r="AE269" s="409">
        <v>1458.5070325814645</v>
      </c>
      <c r="AF269" s="409">
        <v>865.72842975807464</v>
      </c>
      <c r="AG269" s="409">
        <v>0</v>
      </c>
      <c r="AH269" s="409">
        <v>0</v>
      </c>
      <c r="AI269" s="409">
        <v>0</v>
      </c>
      <c r="AJ269" s="409">
        <v>0</v>
      </c>
      <c r="AK269" s="409">
        <v>0</v>
      </c>
      <c r="AL269" s="409">
        <v>36.135886065994036</v>
      </c>
      <c r="AM269" s="409"/>
      <c r="AN269" s="409">
        <v>6.1069116414991598</v>
      </c>
      <c r="AO269" s="409">
        <v>0</v>
      </c>
      <c r="AP269" s="409">
        <v>0</v>
      </c>
      <c r="AQ269" s="409">
        <v>0</v>
      </c>
      <c r="AR269" s="409">
        <v>0</v>
      </c>
      <c r="AS269" s="409">
        <v>0</v>
      </c>
      <c r="AT269" s="409">
        <v>0</v>
      </c>
      <c r="AU269" s="409">
        <v>0</v>
      </c>
      <c r="AV269" s="409">
        <v>0</v>
      </c>
      <c r="AW269" s="409">
        <v>0</v>
      </c>
      <c r="AX269" s="409">
        <v>0</v>
      </c>
      <c r="AY269" s="409">
        <v>0</v>
      </c>
      <c r="AZ269" s="409">
        <v>0</v>
      </c>
      <c r="BA269" s="409"/>
      <c r="BB269" s="409">
        <v>0</v>
      </c>
      <c r="BC269" s="409">
        <v>0</v>
      </c>
      <c r="BD269" s="409">
        <v>0</v>
      </c>
      <c r="BE269" s="409">
        <v>0</v>
      </c>
      <c r="BF269" s="409">
        <v>0</v>
      </c>
      <c r="BG269" s="409">
        <v>117.44975445579669</v>
      </c>
      <c r="BH269" s="409">
        <v>0</v>
      </c>
      <c r="BI269" s="409">
        <v>0</v>
      </c>
      <c r="BJ269" s="409">
        <v>0</v>
      </c>
      <c r="BK269" s="409">
        <v>0</v>
      </c>
      <c r="BL269" s="409">
        <v>16</v>
      </c>
      <c r="BM269" s="409"/>
      <c r="BN269" s="409"/>
      <c r="BO269" s="409"/>
      <c r="BP269" s="409"/>
      <c r="BQ269" s="409"/>
      <c r="BR269" s="409"/>
      <c r="BS269" s="409"/>
      <c r="BT269" s="409"/>
      <c r="BU269" s="409"/>
      <c r="BV269" s="409">
        <v>983.1781842138713</v>
      </c>
      <c r="BW269" s="409"/>
      <c r="BX269" s="409"/>
      <c r="BY269" s="409"/>
      <c r="BZ269" s="409"/>
      <c r="CA269" s="409"/>
      <c r="CB269" s="409"/>
      <c r="CC269" s="409"/>
      <c r="CD269" s="409"/>
      <c r="CE269" s="409"/>
      <c r="CF269" s="409"/>
      <c r="CG269" s="409"/>
      <c r="CH269" s="409"/>
      <c r="CI269" s="409">
        <v>2710.1567999999997</v>
      </c>
      <c r="CJ269" s="409">
        <v>-279.17600000000084</v>
      </c>
      <c r="CK269" s="409"/>
      <c r="CL269" s="409"/>
      <c r="CM269" s="409"/>
      <c r="CN269" s="409"/>
      <c r="CO269" s="409">
        <v>-311.52205999999995</v>
      </c>
      <c r="CP269" s="409">
        <v>30.09222000000003</v>
      </c>
      <c r="CQ269" s="409">
        <v>29</v>
      </c>
      <c r="CR269" s="409">
        <v>52.906188449602496</v>
      </c>
      <c r="CS269" s="409">
        <v>0</v>
      </c>
      <c r="CT269" s="409">
        <v>0</v>
      </c>
      <c r="CU269" s="409">
        <v>0</v>
      </c>
      <c r="CV269" s="409">
        <v>0</v>
      </c>
      <c r="CW269" s="409">
        <v>0</v>
      </c>
      <c r="CX269" s="409">
        <v>0</v>
      </c>
      <c r="CY269" s="409">
        <v>0</v>
      </c>
      <c r="CZ269" s="409">
        <v>15.627645781308274</v>
      </c>
      <c r="DA269" s="409">
        <v>0</v>
      </c>
      <c r="DB269" s="409">
        <v>0</v>
      </c>
      <c r="DC269" s="409">
        <v>39.658938640306928</v>
      </c>
      <c r="DD269" s="409">
        <v>0</v>
      </c>
      <c r="DE269" s="409">
        <v>0</v>
      </c>
      <c r="DF269" s="409">
        <v>0</v>
      </c>
      <c r="DG269" s="409">
        <v>5.3803622997375982</v>
      </c>
      <c r="DH269" s="409">
        <v>0</v>
      </c>
      <c r="DI269" s="409">
        <v>-0.64549673313918277</v>
      </c>
      <c r="DJ269" s="409"/>
      <c r="DK269" s="409">
        <v>0</v>
      </c>
      <c r="DL269" s="409">
        <v>0</v>
      </c>
      <c r="DM269" s="409">
        <v>0</v>
      </c>
      <c r="DN269" s="409">
        <v>0</v>
      </c>
      <c r="DO269" s="409">
        <v>-0.20268445826772563</v>
      </c>
      <c r="DP269" s="409">
        <v>-0.35971752829944226</v>
      </c>
      <c r="DQ269" s="409">
        <v>0</v>
      </c>
      <c r="DR269" s="409">
        <v>-6.5528595520438504</v>
      </c>
      <c r="DS269" s="409"/>
      <c r="DT269" s="409"/>
      <c r="DU269" s="409"/>
      <c r="DV269" s="409">
        <v>1458.5070325814645</v>
      </c>
      <c r="DW269" s="409">
        <v>0</v>
      </c>
      <c r="DX269" s="409">
        <v>0</v>
      </c>
      <c r="DY269" s="409">
        <v>-311.52206000000001</v>
      </c>
      <c r="DZ269" s="409">
        <v>30.092219999999998</v>
      </c>
      <c r="EA269" s="409">
        <v>0</v>
      </c>
      <c r="EB269" s="409">
        <v>0</v>
      </c>
      <c r="EC269" s="409">
        <v>-334.32410784433409</v>
      </c>
      <c r="ED269" s="409">
        <v>0</v>
      </c>
      <c r="EE269" s="409">
        <v>0</v>
      </c>
      <c r="EF269" s="409">
        <v>0</v>
      </c>
      <c r="EG269" s="409">
        <v>0</v>
      </c>
      <c r="EH269" s="409">
        <v>0</v>
      </c>
      <c r="EI269" s="409">
        <v>0</v>
      </c>
      <c r="EJ269" s="409">
        <v>0</v>
      </c>
      <c r="EK269" s="409">
        <v>0</v>
      </c>
      <c r="EL269" s="409">
        <v>0</v>
      </c>
      <c r="EM269" s="409">
        <v>0</v>
      </c>
      <c r="EN269" s="409">
        <v>0</v>
      </c>
      <c r="EO269" s="409">
        <v>0</v>
      </c>
      <c r="EP269" s="409">
        <v>0</v>
      </c>
      <c r="EQ269" s="409">
        <v>0</v>
      </c>
      <c r="ER269" s="409">
        <v>0</v>
      </c>
      <c r="ES269" s="409">
        <v>0</v>
      </c>
      <c r="ET269" s="409">
        <v>0</v>
      </c>
      <c r="EU269" s="409">
        <v>0</v>
      </c>
      <c r="EV269" s="409">
        <v>254</v>
      </c>
      <c r="EW269" s="409">
        <v>0</v>
      </c>
      <c r="EX269" s="409">
        <v>0</v>
      </c>
      <c r="EY269" s="409">
        <v>0</v>
      </c>
      <c r="EZ269" s="409"/>
      <c r="FA269" s="409">
        <v>0</v>
      </c>
      <c r="FB269" s="409"/>
      <c r="FC269" s="409"/>
      <c r="FD269" s="409"/>
      <c r="FE269" s="409"/>
      <c r="FF269" s="409">
        <v>0</v>
      </c>
      <c r="FG269" s="409">
        <v>0</v>
      </c>
      <c r="FH269" s="409">
        <v>0</v>
      </c>
      <c r="FI269" s="409">
        <v>0</v>
      </c>
    </row>
    <row r="270" spans="1:165">
      <c r="A270" s="409">
        <v>268</v>
      </c>
      <c r="B270" s="409" t="s">
        <v>1035</v>
      </c>
      <c r="C270" s="409" t="s">
        <v>2244</v>
      </c>
      <c r="D270" s="409" t="s">
        <v>1991</v>
      </c>
      <c r="E270" s="409" t="s">
        <v>968</v>
      </c>
      <c r="F270" s="409" t="s">
        <v>2247</v>
      </c>
      <c r="G270" s="409" t="s">
        <v>1323</v>
      </c>
      <c r="H270" s="409" t="s">
        <v>1323</v>
      </c>
      <c r="I270" s="409" t="s">
        <v>1323</v>
      </c>
      <c r="J270" s="409" t="s">
        <v>2245</v>
      </c>
      <c r="K270" s="835">
        <v>44593</v>
      </c>
      <c r="L270" s="409">
        <v>0</v>
      </c>
      <c r="M270" s="409">
        <v>0</v>
      </c>
      <c r="N270" s="409">
        <v>73.319999999999993</v>
      </c>
      <c r="O270" s="409">
        <v>73.319999999999993</v>
      </c>
      <c r="P270" s="409">
        <v>73.319999999999993</v>
      </c>
      <c r="Q270" s="409">
        <v>73.319999999999993</v>
      </c>
      <c r="R270" s="409"/>
      <c r="S270" s="409">
        <v>561.96</v>
      </c>
      <c r="T270" s="409">
        <v>243.39</v>
      </c>
      <c r="U270" s="409"/>
      <c r="V270" s="409">
        <v>59048.262000000002</v>
      </c>
      <c r="W270" s="409">
        <v>59048.262000000002</v>
      </c>
      <c r="X270" s="409">
        <v>53261.114399999991</v>
      </c>
      <c r="Y270" s="409">
        <v>0</v>
      </c>
      <c r="Z270" s="409">
        <v>0</v>
      </c>
      <c r="AA270" s="409">
        <v>0</v>
      </c>
      <c r="AB270" s="409">
        <v>0</v>
      </c>
      <c r="AC270" s="409">
        <v>0</v>
      </c>
      <c r="AD270" s="409">
        <v>8592.3022905100952</v>
      </c>
      <c r="AE270" s="409">
        <v>30064.024635612303</v>
      </c>
      <c r="AF270" s="409">
        <v>17845.152788828233</v>
      </c>
      <c r="AG270" s="409">
        <v>0</v>
      </c>
      <c r="AH270" s="409">
        <v>0</v>
      </c>
      <c r="AI270" s="409">
        <v>0</v>
      </c>
      <c r="AJ270" s="409">
        <v>0</v>
      </c>
      <c r="AK270" s="409">
        <v>0</v>
      </c>
      <c r="AL270" s="409">
        <v>0</v>
      </c>
      <c r="AM270" s="409"/>
      <c r="AN270" s="409">
        <v>125.88101252592588</v>
      </c>
      <c r="AO270" s="409">
        <v>0</v>
      </c>
      <c r="AP270" s="409">
        <v>0</v>
      </c>
      <c r="AQ270" s="409">
        <v>0</v>
      </c>
      <c r="AR270" s="409">
        <v>0</v>
      </c>
      <c r="AS270" s="409">
        <v>0</v>
      </c>
      <c r="AT270" s="409">
        <v>0</v>
      </c>
      <c r="AU270" s="409">
        <v>0</v>
      </c>
      <c r="AV270" s="409">
        <v>0</v>
      </c>
      <c r="AW270" s="409">
        <v>0</v>
      </c>
      <c r="AX270" s="409">
        <v>0</v>
      </c>
      <c r="AY270" s="409">
        <v>0</v>
      </c>
      <c r="AZ270" s="409">
        <v>0</v>
      </c>
      <c r="BA270" s="409"/>
      <c r="BB270" s="409">
        <v>0</v>
      </c>
      <c r="BC270" s="409">
        <v>0</v>
      </c>
      <c r="BD270" s="409">
        <v>0</v>
      </c>
      <c r="BE270" s="409">
        <v>0</v>
      </c>
      <c r="BF270" s="409">
        <v>0</v>
      </c>
      <c r="BG270" s="409">
        <v>2420.9772270730991</v>
      </c>
      <c r="BH270" s="409">
        <v>0</v>
      </c>
      <c r="BI270" s="409">
        <v>0</v>
      </c>
      <c r="BJ270" s="409">
        <v>0</v>
      </c>
      <c r="BK270" s="409">
        <v>0</v>
      </c>
      <c r="BL270" s="409">
        <v>186</v>
      </c>
      <c r="BM270" s="409"/>
      <c r="BN270" s="409"/>
      <c r="BO270" s="409"/>
      <c r="BP270" s="409"/>
      <c r="BQ270" s="409"/>
      <c r="BR270" s="409"/>
      <c r="BS270" s="409"/>
      <c r="BT270" s="409">
        <v>34619.504399999998</v>
      </c>
      <c r="BU270" s="409"/>
      <c r="BV270" s="409">
        <v>20266.130015901334</v>
      </c>
      <c r="BW270" s="409"/>
      <c r="BX270" s="409"/>
      <c r="BY270" s="409"/>
      <c r="BZ270" s="409"/>
      <c r="CA270" s="409"/>
      <c r="CB270" s="409"/>
      <c r="CC270" s="409"/>
      <c r="CD270" s="409"/>
      <c r="CE270" s="409"/>
      <c r="CF270" s="409"/>
      <c r="CG270" s="409"/>
      <c r="CH270" s="409"/>
      <c r="CI270" s="409">
        <v>18641.61</v>
      </c>
      <c r="CJ270" s="409">
        <v>-2025.8615999999965</v>
      </c>
      <c r="CK270" s="409"/>
      <c r="CL270" s="409"/>
      <c r="CM270" s="409"/>
      <c r="CN270" s="409"/>
      <c r="CO270" s="409">
        <v>-6407.4348000000027</v>
      </c>
      <c r="CP270" s="409">
        <v>620.28720000000055</v>
      </c>
      <c r="CQ270" s="409">
        <v>29</v>
      </c>
      <c r="CR270" s="409">
        <v>1104.4049240489621</v>
      </c>
      <c r="CS270" s="409">
        <v>0</v>
      </c>
      <c r="CT270" s="409">
        <v>0</v>
      </c>
      <c r="CU270" s="409">
        <v>0</v>
      </c>
      <c r="CV270" s="409">
        <v>0</v>
      </c>
      <c r="CW270" s="409">
        <v>0</v>
      </c>
      <c r="CX270" s="409">
        <v>0</v>
      </c>
      <c r="CY270" s="409">
        <v>0</v>
      </c>
      <c r="CZ270" s="409">
        <v>322.13072496078712</v>
      </c>
      <c r="DA270" s="409">
        <v>0</v>
      </c>
      <c r="DB270" s="409">
        <v>0</v>
      </c>
      <c r="DC270" s="409">
        <v>817.48478524242819</v>
      </c>
      <c r="DD270" s="409">
        <v>0</v>
      </c>
      <c r="DE270" s="409">
        <v>0</v>
      </c>
      <c r="DF270" s="409">
        <v>0</v>
      </c>
      <c r="DG270" s="409">
        <v>110.90474102242342</v>
      </c>
      <c r="DH270" s="409">
        <v>0</v>
      </c>
      <c r="DI270" s="409">
        <v>0</v>
      </c>
      <c r="DJ270" s="409"/>
      <c r="DK270" s="409">
        <v>0</v>
      </c>
      <c r="DL270" s="409">
        <v>0</v>
      </c>
      <c r="DM270" s="409">
        <v>0</v>
      </c>
      <c r="DN270" s="409">
        <v>0</v>
      </c>
      <c r="DO270" s="409">
        <v>0</v>
      </c>
      <c r="DP270" s="409">
        <v>-7.4148128127396973</v>
      </c>
      <c r="DQ270" s="409">
        <v>0</v>
      </c>
      <c r="DR270" s="409">
        <v>-138.70051436393561</v>
      </c>
      <c r="DS270" s="409"/>
      <c r="DT270" s="409"/>
      <c r="DU270" s="409"/>
      <c r="DV270" s="409">
        <v>30064.024635612303</v>
      </c>
      <c r="DW270" s="409">
        <v>0</v>
      </c>
      <c r="DX270" s="409">
        <v>0</v>
      </c>
      <c r="DY270" s="409">
        <v>-6407.4348000000027</v>
      </c>
      <c r="DZ270" s="409">
        <v>620.28719999999885</v>
      </c>
      <c r="EA270" s="409">
        <v>0</v>
      </c>
      <c r="EB270" s="409">
        <v>0</v>
      </c>
      <c r="EC270" s="409">
        <v>-6891.3813851972336</v>
      </c>
      <c r="ED270" s="409">
        <v>0</v>
      </c>
      <c r="EE270" s="409">
        <v>0</v>
      </c>
      <c r="EF270" s="409">
        <v>0</v>
      </c>
      <c r="EG270" s="409">
        <v>0</v>
      </c>
      <c r="EH270" s="409">
        <v>0</v>
      </c>
      <c r="EI270" s="409">
        <v>0</v>
      </c>
      <c r="EJ270" s="409">
        <v>0</v>
      </c>
      <c r="EK270" s="409">
        <v>0</v>
      </c>
      <c r="EL270" s="409">
        <v>0</v>
      </c>
      <c r="EM270" s="409">
        <v>0</v>
      </c>
      <c r="EN270" s="409">
        <v>0</v>
      </c>
      <c r="EO270" s="409">
        <v>0</v>
      </c>
      <c r="EP270" s="409">
        <v>0</v>
      </c>
      <c r="EQ270" s="409">
        <v>0</v>
      </c>
      <c r="ER270" s="409">
        <v>0</v>
      </c>
      <c r="ES270" s="409">
        <v>0</v>
      </c>
      <c r="ET270" s="409">
        <v>0</v>
      </c>
      <c r="EU270" s="409">
        <v>0</v>
      </c>
      <c r="EV270" s="409">
        <v>254</v>
      </c>
      <c r="EW270" s="409">
        <v>0</v>
      </c>
      <c r="EX270" s="409">
        <v>0</v>
      </c>
      <c r="EY270" s="409">
        <v>0</v>
      </c>
      <c r="EZ270" s="409"/>
      <c r="FA270" s="409">
        <v>0</v>
      </c>
      <c r="FB270" s="409"/>
      <c r="FC270" s="409"/>
      <c r="FD270" s="409"/>
      <c r="FE270" s="409"/>
      <c r="FF270" s="409">
        <v>0</v>
      </c>
      <c r="FG270" s="409">
        <v>0</v>
      </c>
      <c r="FH270" s="409">
        <v>0</v>
      </c>
      <c r="FI270" s="409">
        <v>0</v>
      </c>
    </row>
    <row r="271" spans="1:165">
      <c r="A271" s="409">
        <v>269</v>
      </c>
      <c r="B271" s="409" t="s">
        <v>1035</v>
      </c>
      <c r="C271" s="409" t="s">
        <v>2244</v>
      </c>
      <c r="D271" s="409" t="s">
        <v>1991</v>
      </c>
      <c r="E271" s="409" t="s">
        <v>968</v>
      </c>
      <c r="F271" s="409" t="s">
        <v>2248</v>
      </c>
      <c r="G271" s="409" t="s">
        <v>1323</v>
      </c>
      <c r="H271" s="409" t="s">
        <v>1323</v>
      </c>
      <c r="I271" s="409" t="s">
        <v>1323</v>
      </c>
      <c r="J271" s="409" t="s">
        <v>2245</v>
      </c>
      <c r="K271" s="835">
        <v>44593</v>
      </c>
      <c r="L271" s="409">
        <v>0</v>
      </c>
      <c r="M271" s="409">
        <v>0</v>
      </c>
      <c r="N271" s="409">
        <v>109.57299999999999</v>
      </c>
      <c r="O271" s="409">
        <v>109.57299999999999</v>
      </c>
      <c r="P271" s="409">
        <v>109.57299999999999</v>
      </c>
      <c r="Q271" s="409">
        <v>109.57299999999999</v>
      </c>
      <c r="R271" s="409"/>
      <c r="S271" s="409">
        <v>561.96</v>
      </c>
      <c r="T271" s="409">
        <v>243.39</v>
      </c>
      <c r="U271" s="409"/>
      <c r="V271" s="409">
        <v>88244.615550000002</v>
      </c>
      <c r="W271" s="409">
        <v>88244.615550000002</v>
      </c>
      <c r="X271" s="409">
        <v>79596.018659999987</v>
      </c>
      <c r="Y271" s="409">
        <v>0</v>
      </c>
      <c r="Z271" s="409">
        <v>0</v>
      </c>
      <c r="AA271" s="409">
        <v>0</v>
      </c>
      <c r="AB271" s="409">
        <v>0</v>
      </c>
      <c r="AC271" s="409">
        <v>0</v>
      </c>
      <c r="AD271" s="409">
        <v>12840.757486061957</v>
      </c>
      <c r="AE271" s="409">
        <v>44929.151273839976</v>
      </c>
      <c r="AF271" s="409">
        <v>26668.670574608241</v>
      </c>
      <c r="AG271" s="409">
        <v>0</v>
      </c>
      <c r="AH271" s="409">
        <v>0</v>
      </c>
      <c r="AI271" s="409">
        <v>0</v>
      </c>
      <c r="AJ271" s="409">
        <v>0</v>
      </c>
      <c r="AK271" s="409">
        <v>0</v>
      </c>
      <c r="AL271" s="409">
        <v>0</v>
      </c>
      <c r="AM271" s="409"/>
      <c r="AN271" s="409">
        <v>188.12275212088485</v>
      </c>
      <c r="AO271" s="409">
        <v>0</v>
      </c>
      <c r="AP271" s="409">
        <v>0</v>
      </c>
      <c r="AQ271" s="409">
        <v>0</v>
      </c>
      <c r="AR271" s="409">
        <v>0</v>
      </c>
      <c r="AS271" s="409">
        <v>0</v>
      </c>
      <c r="AT271" s="409">
        <v>0</v>
      </c>
      <c r="AU271" s="409">
        <v>0</v>
      </c>
      <c r="AV271" s="409">
        <v>0</v>
      </c>
      <c r="AW271" s="409">
        <v>0</v>
      </c>
      <c r="AX271" s="409">
        <v>0</v>
      </c>
      <c r="AY271" s="409">
        <v>0</v>
      </c>
      <c r="AZ271" s="409">
        <v>0</v>
      </c>
      <c r="BA271" s="409"/>
      <c r="BB271" s="409">
        <v>0</v>
      </c>
      <c r="BC271" s="409">
        <v>0</v>
      </c>
      <c r="BD271" s="409">
        <v>0</v>
      </c>
      <c r="BE271" s="409">
        <v>0</v>
      </c>
      <c r="BF271" s="409">
        <v>0</v>
      </c>
      <c r="BG271" s="409">
        <v>3618.0269735690217</v>
      </c>
      <c r="BH271" s="409">
        <v>0</v>
      </c>
      <c r="BI271" s="409">
        <v>0</v>
      </c>
      <c r="BJ271" s="409">
        <v>0</v>
      </c>
      <c r="BK271" s="409">
        <v>0</v>
      </c>
      <c r="BL271" s="409">
        <v>1496</v>
      </c>
      <c r="BM271" s="409"/>
      <c r="BN271" s="409"/>
      <c r="BO271" s="409"/>
      <c r="BP271" s="409"/>
      <c r="BQ271" s="409"/>
      <c r="BR271" s="409"/>
      <c r="BS271" s="409"/>
      <c r="BT271" s="409">
        <v>31838.626609999996</v>
      </c>
      <c r="BU271" s="409"/>
      <c r="BV271" s="409">
        <v>30286.697548177261</v>
      </c>
      <c r="BW271" s="409"/>
      <c r="BX271" s="409"/>
      <c r="BY271" s="409"/>
      <c r="BZ271" s="409"/>
      <c r="CA271" s="409"/>
      <c r="CB271" s="409"/>
      <c r="CC271" s="409"/>
      <c r="CD271" s="409"/>
      <c r="CE271" s="409"/>
      <c r="CF271" s="409"/>
      <c r="CG271" s="409"/>
      <c r="CH271" s="409"/>
      <c r="CI271" s="409">
        <v>47756.084499999997</v>
      </c>
      <c r="CJ271" s="409">
        <v>-5190.7148300000044</v>
      </c>
      <c r="CK271" s="409"/>
      <c r="CL271" s="409"/>
      <c r="CM271" s="409"/>
      <c r="CN271" s="409"/>
      <c r="CO271" s="409">
        <v>-9575.5844700000034</v>
      </c>
      <c r="CP271" s="409">
        <v>926.98758000000078</v>
      </c>
      <c r="CQ271" s="409">
        <v>29</v>
      </c>
      <c r="CR271" s="409">
        <v>1650.4768240973353</v>
      </c>
      <c r="CS271" s="409">
        <v>0</v>
      </c>
      <c r="CT271" s="409">
        <v>0</v>
      </c>
      <c r="CU271" s="409">
        <v>0</v>
      </c>
      <c r="CV271" s="409">
        <v>0</v>
      </c>
      <c r="CW271" s="409">
        <v>0</v>
      </c>
      <c r="CX271" s="409">
        <v>0</v>
      </c>
      <c r="CY271" s="409">
        <v>0</v>
      </c>
      <c r="CZ271" s="409">
        <v>481.40793679934905</v>
      </c>
      <c r="DA271" s="409">
        <v>0</v>
      </c>
      <c r="DB271" s="409">
        <v>0</v>
      </c>
      <c r="DC271" s="409">
        <v>1221.6893122390647</v>
      </c>
      <c r="DD271" s="409">
        <v>0</v>
      </c>
      <c r="DE271" s="409">
        <v>0</v>
      </c>
      <c r="DF271" s="409">
        <v>0</v>
      </c>
      <c r="DG271" s="409">
        <v>165.74147828764353</v>
      </c>
      <c r="DH271" s="409">
        <v>0</v>
      </c>
      <c r="DI271" s="409">
        <v>0</v>
      </c>
      <c r="DJ271" s="409"/>
      <c r="DK271" s="409">
        <v>0</v>
      </c>
      <c r="DL271" s="409">
        <v>0</v>
      </c>
      <c r="DM271" s="409">
        <v>0</v>
      </c>
      <c r="DN271" s="409">
        <v>0</v>
      </c>
      <c r="DO271" s="409">
        <v>0</v>
      </c>
      <c r="DP271" s="409">
        <v>-11.081059524418009</v>
      </c>
      <c r="DQ271" s="409">
        <v>0</v>
      </c>
      <c r="DR271" s="409">
        <v>-207.28084370430329</v>
      </c>
      <c r="DS271" s="409"/>
      <c r="DT271" s="409"/>
      <c r="DU271" s="409"/>
      <c r="DV271" s="409">
        <v>44929.151273839976</v>
      </c>
      <c r="DW271" s="409">
        <v>0</v>
      </c>
      <c r="DX271" s="409">
        <v>0</v>
      </c>
      <c r="DY271" s="409">
        <v>-9575.5844700000089</v>
      </c>
      <c r="DZ271" s="409">
        <v>926.98758000000089</v>
      </c>
      <c r="EA271" s="409">
        <v>0</v>
      </c>
      <c r="EB271" s="409">
        <v>0</v>
      </c>
      <c r="EC271" s="409">
        <v>-10298.817955813101</v>
      </c>
      <c r="ED271" s="409">
        <v>0</v>
      </c>
      <c r="EE271" s="409">
        <v>0</v>
      </c>
      <c r="EF271" s="409">
        <v>0</v>
      </c>
      <c r="EG271" s="409">
        <v>0</v>
      </c>
      <c r="EH271" s="409">
        <v>0</v>
      </c>
      <c r="EI271" s="409">
        <v>0</v>
      </c>
      <c r="EJ271" s="409">
        <v>0</v>
      </c>
      <c r="EK271" s="409">
        <v>0</v>
      </c>
      <c r="EL271" s="409">
        <v>0</v>
      </c>
      <c r="EM271" s="409">
        <v>0</v>
      </c>
      <c r="EN271" s="409">
        <v>0</v>
      </c>
      <c r="EO271" s="409">
        <v>0</v>
      </c>
      <c r="EP271" s="409">
        <v>0</v>
      </c>
      <c r="EQ271" s="409">
        <v>0</v>
      </c>
      <c r="ER271" s="409">
        <v>0</v>
      </c>
      <c r="ES271" s="409">
        <v>0</v>
      </c>
      <c r="ET271" s="409">
        <v>0</v>
      </c>
      <c r="EU271" s="409">
        <v>0</v>
      </c>
      <c r="EV271" s="409">
        <v>254</v>
      </c>
      <c r="EW271" s="409">
        <v>0</v>
      </c>
      <c r="EX271" s="409">
        <v>0</v>
      </c>
      <c r="EY271" s="409">
        <v>0</v>
      </c>
      <c r="EZ271" s="409"/>
      <c r="FA271" s="409">
        <v>0</v>
      </c>
      <c r="FB271" s="409"/>
      <c r="FC271" s="409"/>
      <c r="FD271" s="409"/>
      <c r="FE271" s="409"/>
      <c r="FF271" s="409">
        <v>0</v>
      </c>
      <c r="FG271" s="409">
        <v>0</v>
      </c>
      <c r="FH271" s="409">
        <v>0</v>
      </c>
      <c r="FI271" s="409">
        <v>0</v>
      </c>
    </row>
    <row r="272" spans="1:165">
      <c r="A272" s="409">
        <v>270</v>
      </c>
      <c r="B272" s="409" t="s">
        <v>1035</v>
      </c>
      <c r="C272" s="409" t="s">
        <v>2244</v>
      </c>
      <c r="D272" s="409" t="s">
        <v>1991</v>
      </c>
      <c r="E272" s="409" t="s">
        <v>968</v>
      </c>
      <c r="F272" s="409" t="s">
        <v>2249</v>
      </c>
      <c r="G272" s="409" t="s">
        <v>1323</v>
      </c>
      <c r="H272" s="409" t="s">
        <v>1323</v>
      </c>
      <c r="I272" s="409" t="s">
        <v>1323</v>
      </c>
      <c r="J272" s="409" t="s">
        <v>2245</v>
      </c>
      <c r="K272" s="835">
        <v>44593</v>
      </c>
      <c r="L272" s="409">
        <v>0</v>
      </c>
      <c r="M272" s="409">
        <v>0</v>
      </c>
      <c r="N272" s="409">
        <v>35.987000000000002</v>
      </c>
      <c r="O272" s="409">
        <v>35.987000000000002</v>
      </c>
      <c r="P272" s="409">
        <v>35.987000000000002</v>
      </c>
      <c r="Q272" s="409">
        <v>35.987000000000002</v>
      </c>
      <c r="R272" s="409"/>
      <c r="S272" s="409">
        <v>561.96</v>
      </c>
      <c r="T272" s="409">
        <v>243.39</v>
      </c>
      <c r="U272" s="409"/>
      <c r="V272" s="409">
        <v>28982.130450000004</v>
      </c>
      <c r="W272" s="409">
        <v>28982.130450000004</v>
      </c>
      <c r="X272" s="409">
        <v>26141.67654</v>
      </c>
      <c r="Y272" s="409">
        <v>0</v>
      </c>
      <c r="Z272" s="409">
        <v>0</v>
      </c>
      <c r="AA272" s="409">
        <v>0</v>
      </c>
      <c r="AB272" s="409">
        <v>0</v>
      </c>
      <c r="AC272" s="409">
        <v>0</v>
      </c>
      <c r="AD272" s="409">
        <v>4217.2829040996567</v>
      </c>
      <c r="AE272" s="409">
        <v>14756.056390640755</v>
      </c>
      <c r="AF272" s="409">
        <v>8758.7767786628719</v>
      </c>
      <c r="AG272" s="409">
        <v>0</v>
      </c>
      <c r="AH272" s="409">
        <v>0</v>
      </c>
      <c r="AI272" s="409">
        <v>0</v>
      </c>
      <c r="AJ272" s="409">
        <v>0</v>
      </c>
      <c r="AK272" s="409">
        <v>0</v>
      </c>
      <c r="AL272" s="409">
        <v>0</v>
      </c>
      <c r="AM272" s="409"/>
      <c r="AN272" s="409">
        <v>61.785051797197156</v>
      </c>
      <c r="AO272" s="409">
        <v>0</v>
      </c>
      <c r="AP272" s="409">
        <v>0</v>
      </c>
      <c r="AQ272" s="409">
        <v>0</v>
      </c>
      <c r="AR272" s="409">
        <v>0</v>
      </c>
      <c r="AS272" s="409">
        <v>0</v>
      </c>
      <c r="AT272" s="409">
        <v>0</v>
      </c>
      <c r="AU272" s="409">
        <v>0</v>
      </c>
      <c r="AV272" s="409">
        <v>0</v>
      </c>
      <c r="AW272" s="409">
        <v>0</v>
      </c>
      <c r="AX272" s="409">
        <v>0</v>
      </c>
      <c r="AY272" s="409">
        <v>0</v>
      </c>
      <c r="AZ272" s="409">
        <v>0</v>
      </c>
      <c r="BA272" s="409"/>
      <c r="BB272" s="409">
        <v>0</v>
      </c>
      <c r="BC272" s="409">
        <v>0</v>
      </c>
      <c r="BD272" s="409">
        <v>0</v>
      </c>
      <c r="BE272" s="409">
        <v>0</v>
      </c>
      <c r="BF272" s="409">
        <v>0</v>
      </c>
      <c r="BG272" s="409">
        <v>1188.2666048919752</v>
      </c>
      <c r="BH272" s="409">
        <v>0</v>
      </c>
      <c r="BI272" s="409">
        <v>0</v>
      </c>
      <c r="BJ272" s="409">
        <v>0</v>
      </c>
      <c r="BK272" s="409">
        <v>0</v>
      </c>
      <c r="BL272" s="409">
        <v>690</v>
      </c>
      <c r="BM272" s="409"/>
      <c r="BN272" s="409"/>
      <c r="BO272" s="409"/>
      <c r="BP272" s="409"/>
      <c r="BQ272" s="409"/>
      <c r="BR272" s="409"/>
      <c r="BS272" s="409"/>
      <c r="BT272" s="409">
        <v>2614.0956799999994</v>
      </c>
      <c r="BU272" s="409"/>
      <c r="BV272" s="409">
        <v>9947.0433835548465</v>
      </c>
      <c r="BW272" s="409"/>
      <c r="BX272" s="409"/>
      <c r="BY272" s="409"/>
      <c r="BZ272" s="409"/>
      <c r="CA272" s="409"/>
      <c r="CB272" s="409"/>
      <c r="CC272" s="409"/>
      <c r="CD272" s="409"/>
      <c r="CE272" s="409"/>
      <c r="CF272" s="409"/>
      <c r="CG272" s="409"/>
      <c r="CH272" s="409"/>
      <c r="CI272" s="409">
        <v>23529.5422</v>
      </c>
      <c r="CJ272" s="409">
        <v>-2554.5851399999956</v>
      </c>
      <c r="CK272" s="409"/>
      <c r="CL272" s="409"/>
      <c r="CM272" s="409"/>
      <c r="CN272" s="409"/>
      <c r="CO272" s="409">
        <v>-3144.9039300000018</v>
      </c>
      <c r="CP272" s="409">
        <v>304.45002000000028</v>
      </c>
      <c r="CQ272" s="409">
        <v>29</v>
      </c>
      <c r="CR272" s="409">
        <v>542.06519369544367</v>
      </c>
      <c r="CS272" s="409">
        <v>0</v>
      </c>
      <c r="CT272" s="409">
        <v>0</v>
      </c>
      <c r="CU272" s="409">
        <v>0</v>
      </c>
      <c r="CV272" s="409">
        <v>0</v>
      </c>
      <c r="CW272" s="409">
        <v>0</v>
      </c>
      <c r="CX272" s="409">
        <v>0</v>
      </c>
      <c r="CY272" s="409">
        <v>0</v>
      </c>
      <c r="CZ272" s="409">
        <v>158.10854336011835</v>
      </c>
      <c r="DA272" s="409">
        <v>0</v>
      </c>
      <c r="DB272" s="409">
        <v>0</v>
      </c>
      <c r="DC272" s="409">
        <v>401.23874749753304</v>
      </c>
      <c r="DD272" s="409">
        <v>0</v>
      </c>
      <c r="DE272" s="409">
        <v>0</v>
      </c>
      <c r="DF272" s="409">
        <v>0</v>
      </c>
      <c r="DG272" s="409">
        <v>54.434382367348007</v>
      </c>
      <c r="DH272" s="409">
        <v>0</v>
      </c>
      <c r="DI272" s="409">
        <v>0</v>
      </c>
      <c r="DJ272" s="409"/>
      <c r="DK272" s="409">
        <v>0</v>
      </c>
      <c r="DL272" s="409">
        <v>0</v>
      </c>
      <c r="DM272" s="409">
        <v>0</v>
      </c>
      <c r="DN272" s="409">
        <v>0</v>
      </c>
      <c r="DO272" s="409">
        <v>0</v>
      </c>
      <c r="DP272" s="409">
        <v>-3.6393462723958478</v>
      </c>
      <c r="DQ272" s="409">
        <v>0</v>
      </c>
      <c r="DR272" s="409">
        <v>-68.07713325715973</v>
      </c>
      <c r="DS272" s="409"/>
      <c r="DT272" s="409"/>
      <c r="DU272" s="409"/>
      <c r="DV272" s="409">
        <v>14756.056390640755</v>
      </c>
      <c r="DW272" s="409">
        <v>0</v>
      </c>
      <c r="DX272" s="409">
        <v>0</v>
      </c>
      <c r="DY272" s="409">
        <v>-3144.9039300000004</v>
      </c>
      <c r="DZ272" s="409">
        <v>304.45002000000022</v>
      </c>
      <c r="EA272" s="409">
        <v>0</v>
      </c>
      <c r="EB272" s="409">
        <v>0</v>
      </c>
      <c r="EC272" s="409">
        <v>-3382.4351051431113</v>
      </c>
      <c r="ED272" s="409">
        <v>0</v>
      </c>
      <c r="EE272" s="409">
        <v>0</v>
      </c>
      <c r="EF272" s="409">
        <v>0</v>
      </c>
      <c r="EG272" s="409">
        <v>0</v>
      </c>
      <c r="EH272" s="409">
        <v>0</v>
      </c>
      <c r="EI272" s="409">
        <v>0</v>
      </c>
      <c r="EJ272" s="409">
        <v>0</v>
      </c>
      <c r="EK272" s="409">
        <v>0</v>
      </c>
      <c r="EL272" s="409">
        <v>0</v>
      </c>
      <c r="EM272" s="409">
        <v>0</v>
      </c>
      <c r="EN272" s="409">
        <v>0</v>
      </c>
      <c r="EO272" s="409">
        <v>0</v>
      </c>
      <c r="EP272" s="409">
        <v>0</v>
      </c>
      <c r="EQ272" s="409">
        <v>0</v>
      </c>
      <c r="ER272" s="409">
        <v>0</v>
      </c>
      <c r="ES272" s="409">
        <v>0</v>
      </c>
      <c r="ET272" s="409">
        <v>0</v>
      </c>
      <c r="EU272" s="409">
        <v>0</v>
      </c>
      <c r="EV272" s="409">
        <v>254</v>
      </c>
      <c r="EW272" s="409">
        <v>0</v>
      </c>
      <c r="EX272" s="409">
        <v>0</v>
      </c>
      <c r="EY272" s="409">
        <v>0</v>
      </c>
      <c r="EZ272" s="409"/>
      <c r="FA272" s="409">
        <v>0</v>
      </c>
      <c r="FB272" s="409"/>
      <c r="FC272" s="409"/>
      <c r="FD272" s="409"/>
      <c r="FE272" s="409"/>
      <c r="FF272" s="409">
        <v>0</v>
      </c>
      <c r="FG272" s="409">
        <v>0</v>
      </c>
      <c r="FH272" s="409">
        <v>0</v>
      </c>
      <c r="FI272" s="409">
        <v>0</v>
      </c>
    </row>
    <row r="273" spans="1:165">
      <c r="A273" s="409">
        <v>271</v>
      </c>
      <c r="B273" s="409" t="s">
        <v>1035</v>
      </c>
      <c r="C273" s="409" t="s">
        <v>2244</v>
      </c>
      <c r="D273" s="409" t="s">
        <v>1991</v>
      </c>
      <c r="E273" s="409" t="s">
        <v>968</v>
      </c>
      <c r="F273" s="409" t="s">
        <v>2250</v>
      </c>
      <c r="G273" s="409" t="s">
        <v>1323</v>
      </c>
      <c r="H273" s="409" t="s">
        <v>1323</v>
      </c>
      <c r="I273" s="409" t="s">
        <v>1323</v>
      </c>
      <c r="J273" s="409" t="s">
        <v>2245</v>
      </c>
      <c r="K273" s="835">
        <v>44593</v>
      </c>
      <c r="L273" s="409">
        <v>0</v>
      </c>
      <c r="M273" s="409">
        <v>0</v>
      </c>
      <c r="N273" s="409">
        <v>10.814</v>
      </c>
      <c r="O273" s="409">
        <v>10.814</v>
      </c>
      <c r="P273" s="409">
        <v>10.814</v>
      </c>
      <c r="Q273" s="409">
        <v>10.814</v>
      </c>
      <c r="R273" s="409"/>
      <c r="S273" s="409">
        <v>561.96</v>
      </c>
      <c r="T273" s="409">
        <v>243.39</v>
      </c>
      <c r="U273" s="409"/>
      <c r="V273" s="409">
        <v>8709.054900000001</v>
      </c>
      <c r="W273" s="409">
        <v>8709.054900000001</v>
      </c>
      <c r="X273" s="409">
        <v>7855.5058799999997</v>
      </c>
      <c r="Y273" s="409">
        <v>0</v>
      </c>
      <c r="Z273" s="409">
        <v>0</v>
      </c>
      <c r="AA273" s="409">
        <v>0</v>
      </c>
      <c r="AB273" s="409">
        <v>0</v>
      </c>
      <c r="AC273" s="409">
        <v>0</v>
      </c>
      <c r="AD273" s="409">
        <v>1267.2825555043123</v>
      </c>
      <c r="AE273" s="409">
        <v>4434.156606785481</v>
      </c>
      <c r="AF273" s="409">
        <v>2631.9896652808038</v>
      </c>
      <c r="AG273" s="409">
        <v>0</v>
      </c>
      <c r="AH273" s="409">
        <v>0</v>
      </c>
      <c r="AI273" s="409">
        <v>0</v>
      </c>
      <c r="AJ273" s="409">
        <v>0</v>
      </c>
      <c r="AK273" s="409">
        <v>0</v>
      </c>
      <c r="AL273" s="409">
        <v>0</v>
      </c>
      <c r="AM273" s="409"/>
      <c r="AN273" s="409">
        <v>18.566247537579962</v>
      </c>
      <c r="AO273" s="409">
        <v>0</v>
      </c>
      <c r="AP273" s="409">
        <v>0</v>
      </c>
      <c r="AQ273" s="409">
        <v>0</v>
      </c>
      <c r="AR273" s="409">
        <v>0</v>
      </c>
      <c r="AS273" s="409">
        <v>0</v>
      </c>
      <c r="AT273" s="409">
        <v>0</v>
      </c>
      <c r="AU273" s="409">
        <v>0</v>
      </c>
      <c r="AV273" s="409">
        <v>0</v>
      </c>
      <c r="AW273" s="409">
        <v>0</v>
      </c>
      <c r="AX273" s="409">
        <v>0</v>
      </c>
      <c r="AY273" s="409">
        <v>0</v>
      </c>
      <c r="AZ273" s="409">
        <v>0</v>
      </c>
      <c r="BA273" s="409"/>
      <c r="BB273" s="409">
        <v>0</v>
      </c>
      <c r="BC273" s="409">
        <v>0</v>
      </c>
      <c r="BD273" s="409">
        <v>0</v>
      </c>
      <c r="BE273" s="409">
        <v>0</v>
      </c>
      <c r="BF273" s="409">
        <v>0</v>
      </c>
      <c r="BG273" s="409">
        <v>357.07102746274541</v>
      </c>
      <c r="BH273" s="409">
        <v>0</v>
      </c>
      <c r="BI273" s="409">
        <v>53.54</v>
      </c>
      <c r="BJ273" s="409">
        <v>246.89</v>
      </c>
      <c r="BK273" s="409">
        <v>997.7</v>
      </c>
      <c r="BL273" s="409">
        <v>72</v>
      </c>
      <c r="BM273" s="409"/>
      <c r="BN273" s="409"/>
      <c r="BO273" s="409"/>
      <c r="BP273" s="409"/>
      <c r="BQ273" s="409"/>
      <c r="BR273" s="409"/>
      <c r="BS273" s="409"/>
      <c r="BT273" s="409"/>
      <c r="BU273" s="409"/>
      <c r="BV273" s="409">
        <v>2989.0606927435492</v>
      </c>
      <c r="BW273" s="409"/>
      <c r="BX273" s="409"/>
      <c r="BY273" s="409"/>
      <c r="BZ273" s="409"/>
      <c r="CA273" s="409"/>
      <c r="CB273" s="409"/>
      <c r="CC273" s="409"/>
      <c r="CD273" s="409"/>
      <c r="CE273" s="409"/>
      <c r="CF273" s="409"/>
      <c r="CG273" s="409"/>
      <c r="CH273" s="409"/>
      <c r="CI273" s="409">
        <v>7852.6002000000008</v>
      </c>
      <c r="CJ273" s="409">
        <v>-856.48470000000088</v>
      </c>
      <c r="CK273" s="409"/>
      <c r="CL273" s="409"/>
      <c r="CM273" s="409"/>
      <c r="CN273" s="409"/>
      <c r="CO273" s="409">
        <v>-945.03546000000051</v>
      </c>
      <c r="CP273" s="409">
        <v>91.486440000000087</v>
      </c>
      <c r="CQ273" s="409">
        <v>29</v>
      </c>
      <c r="CR273" s="409">
        <v>162.88918233313416</v>
      </c>
      <c r="CS273" s="409">
        <v>0</v>
      </c>
      <c r="CT273" s="409">
        <v>0</v>
      </c>
      <c r="CU273" s="409">
        <v>0</v>
      </c>
      <c r="CV273" s="409">
        <v>0</v>
      </c>
      <c r="CW273" s="409">
        <v>0</v>
      </c>
      <c r="CX273" s="409">
        <v>0</v>
      </c>
      <c r="CY273" s="409">
        <v>0</v>
      </c>
      <c r="CZ273" s="409">
        <v>47.511206488351718</v>
      </c>
      <c r="DA273" s="409">
        <v>0</v>
      </c>
      <c r="DB273" s="409">
        <v>0</v>
      </c>
      <c r="DC273" s="409">
        <v>120.57120114036525</v>
      </c>
      <c r="DD273" s="409">
        <v>0</v>
      </c>
      <c r="DE273" s="409">
        <v>0</v>
      </c>
      <c r="DF273" s="409">
        <v>0</v>
      </c>
      <c r="DG273" s="409">
        <v>16.357390472128884</v>
      </c>
      <c r="DH273" s="409">
        <v>0</v>
      </c>
      <c r="DI273" s="409">
        <v>0</v>
      </c>
      <c r="DJ273" s="409"/>
      <c r="DK273" s="409">
        <v>0</v>
      </c>
      <c r="DL273" s="409">
        <v>0</v>
      </c>
      <c r="DM273" s="409">
        <v>0</v>
      </c>
      <c r="DN273" s="409">
        <v>0</v>
      </c>
      <c r="DO273" s="409">
        <v>0</v>
      </c>
      <c r="DP273" s="409">
        <v>-1.0936140992494181</v>
      </c>
      <c r="DQ273" s="409">
        <v>0</v>
      </c>
      <c r="DR273" s="409">
        <v>-20.457001668461537</v>
      </c>
      <c r="DS273" s="409"/>
      <c r="DT273" s="409"/>
      <c r="DU273" s="409"/>
      <c r="DV273" s="409">
        <v>4434.156606785481</v>
      </c>
      <c r="DW273" s="409">
        <v>0</v>
      </c>
      <c r="DX273" s="409">
        <v>0</v>
      </c>
      <c r="DY273" s="409">
        <v>-945.03546000000097</v>
      </c>
      <c r="DZ273" s="409">
        <v>91.48644000000013</v>
      </c>
      <c r="EA273" s="409">
        <v>0</v>
      </c>
      <c r="EB273" s="409">
        <v>0</v>
      </c>
      <c r="EC273" s="409">
        <v>-1016.4129609864008</v>
      </c>
      <c r="ED273" s="409">
        <v>0</v>
      </c>
      <c r="EE273" s="409">
        <v>0</v>
      </c>
      <c r="EF273" s="409">
        <v>0</v>
      </c>
      <c r="EG273" s="409">
        <v>0</v>
      </c>
      <c r="EH273" s="409">
        <v>0</v>
      </c>
      <c r="EI273" s="409">
        <v>0</v>
      </c>
      <c r="EJ273" s="409">
        <v>0</v>
      </c>
      <c r="EK273" s="409">
        <v>0</v>
      </c>
      <c r="EL273" s="409">
        <v>0</v>
      </c>
      <c r="EM273" s="409">
        <v>0</v>
      </c>
      <c r="EN273" s="409">
        <v>0</v>
      </c>
      <c r="EO273" s="409">
        <v>0</v>
      </c>
      <c r="EP273" s="409">
        <v>0</v>
      </c>
      <c r="EQ273" s="409">
        <v>0</v>
      </c>
      <c r="ER273" s="409">
        <v>0</v>
      </c>
      <c r="ES273" s="409">
        <v>0</v>
      </c>
      <c r="ET273" s="409">
        <v>0</v>
      </c>
      <c r="EU273" s="409">
        <v>0</v>
      </c>
      <c r="EV273" s="409">
        <v>254</v>
      </c>
      <c r="EW273" s="409">
        <v>0</v>
      </c>
      <c r="EX273" s="409">
        <v>0</v>
      </c>
      <c r="EY273" s="409">
        <v>0</v>
      </c>
      <c r="EZ273" s="409"/>
      <c r="FA273" s="409">
        <v>0</v>
      </c>
      <c r="FB273" s="409"/>
      <c r="FC273" s="409"/>
      <c r="FD273" s="409"/>
      <c r="FE273" s="409"/>
      <c r="FF273" s="409">
        <v>0</v>
      </c>
      <c r="FG273" s="409">
        <v>0</v>
      </c>
      <c r="FH273" s="409">
        <v>0</v>
      </c>
      <c r="FI273" s="409">
        <v>0</v>
      </c>
    </row>
    <row r="274" spans="1:165">
      <c r="A274" s="409">
        <v>272</v>
      </c>
      <c r="B274" s="409" t="s">
        <v>1035</v>
      </c>
      <c r="C274" s="409" t="s">
        <v>2252</v>
      </c>
      <c r="D274" s="409" t="s">
        <v>1991</v>
      </c>
      <c r="E274" s="409" t="s">
        <v>968</v>
      </c>
      <c r="F274" s="409" t="s">
        <v>968</v>
      </c>
      <c r="G274" s="409" t="s">
        <v>1323</v>
      </c>
      <c r="H274" s="409" t="s">
        <v>1323</v>
      </c>
      <c r="I274" s="409" t="s">
        <v>2237</v>
      </c>
      <c r="J274" s="409" t="s">
        <v>2245</v>
      </c>
      <c r="K274" s="835">
        <v>44593</v>
      </c>
      <c r="L274" s="409">
        <v>0</v>
      </c>
      <c r="M274" s="409">
        <v>0</v>
      </c>
      <c r="N274" s="409">
        <v>0.20100000000000001</v>
      </c>
      <c r="O274" s="409">
        <v>0.20100000000000001</v>
      </c>
      <c r="P274" s="409">
        <v>0.20100000000000001</v>
      </c>
      <c r="Q274" s="409">
        <v>0.20100000000000001</v>
      </c>
      <c r="R274" s="409"/>
      <c r="S274" s="409">
        <v>386.11</v>
      </c>
      <c r="T274" s="409">
        <v>243.39</v>
      </c>
      <c r="U274" s="409"/>
      <c r="V274" s="409">
        <v>126.52950000000001</v>
      </c>
      <c r="W274" s="409">
        <v>126.52950000000001</v>
      </c>
      <c r="X274" s="409">
        <v>117.76992000000001</v>
      </c>
      <c r="Y274" s="409">
        <v>0</v>
      </c>
      <c r="Z274" s="409">
        <v>5.0015789705047178</v>
      </c>
      <c r="AA274" s="409">
        <v>0</v>
      </c>
      <c r="AB274" s="409">
        <v>0</v>
      </c>
      <c r="AC274" s="409">
        <v>0</v>
      </c>
      <c r="AD274" s="409">
        <v>14.132815361478633</v>
      </c>
      <c r="AE274" s="409">
        <v>49.450653624870746</v>
      </c>
      <c r="AF274" s="409">
        <v>48.920836205052858</v>
      </c>
      <c r="AG274" s="409">
        <v>0</v>
      </c>
      <c r="AH274" s="409">
        <v>0</v>
      </c>
      <c r="AI274" s="409">
        <v>0</v>
      </c>
      <c r="AJ274" s="409">
        <v>0</v>
      </c>
      <c r="AK274" s="409">
        <v>0</v>
      </c>
      <c r="AL274" s="409">
        <v>2.0419772559080132</v>
      </c>
      <c r="AM274" s="409"/>
      <c r="AN274" s="409">
        <v>0.34509115545159719</v>
      </c>
      <c r="AO274" s="409">
        <v>0</v>
      </c>
      <c r="AP274" s="409">
        <v>0</v>
      </c>
      <c r="AQ274" s="409">
        <v>0</v>
      </c>
      <c r="AR274" s="409">
        <v>0</v>
      </c>
      <c r="AS274" s="409">
        <v>0</v>
      </c>
      <c r="AT274" s="409">
        <v>0</v>
      </c>
      <c r="AU274" s="409">
        <v>0</v>
      </c>
      <c r="AV274" s="409">
        <v>0</v>
      </c>
      <c r="AW274" s="409">
        <v>0</v>
      </c>
      <c r="AX274" s="409">
        <v>0</v>
      </c>
      <c r="AY274" s="409">
        <v>0</v>
      </c>
      <c r="AZ274" s="409">
        <v>0</v>
      </c>
      <c r="BA274" s="409"/>
      <c r="BB274" s="409">
        <v>0</v>
      </c>
      <c r="BC274" s="409">
        <v>0</v>
      </c>
      <c r="BD274" s="409">
        <v>0</v>
      </c>
      <c r="BE274" s="409">
        <v>0</v>
      </c>
      <c r="BF274" s="409">
        <v>0</v>
      </c>
      <c r="BG274" s="409">
        <v>6.636885196967989</v>
      </c>
      <c r="BH274" s="409">
        <v>0</v>
      </c>
      <c r="BI274" s="409">
        <v>0</v>
      </c>
      <c r="BJ274" s="409">
        <v>0</v>
      </c>
      <c r="BK274" s="409">
        <v>0</v>
      </c>
      <c r="BL274" s="409">
        <v>0</v>
      </c>
      <c r="BM274" s="409"/>
      <c r="BN274" s="409"/>
      <c r="BO274" s="409"/>
      <c r="BP274" s="409"/>
      <c r="BQ274" s="409"/>
      <c r="BR274" s="409"/>
      <c r="BS274" s="409"/>
      <c r="BT274" s="409"/>
      <c r="BU274" s="409"/>
      <c r="BV274" s="409">
        <v>55.557721402020846</v>
      </c>
      <c r="BW274" s="409"/>
      <c r="BX274" s="409"/>
      <c r="BY274" s="409"/>
      <c r="BZ274" s="409"/>
      <c r="CA274" s="409"/>
      <c r="CB274" s="409"/>
      <c r="CC274" s="409"/>
      <c r="CD274" s="409"/>
      <c r="CE274" s="409"/>
      <c r="CF274" s="409"/>
      <c r="CG274" s="409"/>
      <c r="CH274" s="409"/>
      <c r="CI274" s="409">
        <v>117.18400000000001</v>
      </c>
      <c r="CJ274" s="409">
        <v>-9.3755000000000166</v>
      </c>
      <c r="CK274" s="409"/>
      <c r="CL274" s="409"/>
      <c r="CM274" s="409"/>
      <c r="CN274" s="409"/>
      <c r="CO274" s="409">
        <v>-10.460040000000005</v>
      </c>
      <c r="CP274" s="409">
        <v>1.7004600000000016</v>
      </c>
      <c r="CQ274" s="409">
        <v>29</v>
      </c>
      <c r="CR274" s="409">
        <v>2.5765518572813448</v>
      </c>
      <c r="CS274" s="409">
        <v>0</v>
      </c>
      <c r="CT274" s="409">
        <v>0</v>
      </c>
      <c r="CU274" s="409">
        <v>0</v>
      </c>
      <c r="CV274" s="409">
        <v>0</v>
      </c>
      <c r="CW274" s="409">
        <v>0</v>
      </c>
      <c r="CX274" s="409">
        <v>0</v>
      </c>
      <c r="CY274" s="409">
        <v>0</v>
      </c>
      <c r="CZ274" s="409">
        <v>0.5298479853482192</v>
      </c>
      <c r="DA274" s="409">
        <v>0</v>
      </c>
      <c r="DB274" s="409">
        <v>0</v>
      </c>
      <c r="DC274" s="409">
        <v>2.2410589448135241</v>
      </c>
      <c r="DD274" s="409">
        <v>0</v>
      </c>
      <c r="DE274" s="409">
        <v>0</v>
      </c>
      <c r="DF274" s="409">
        <v>0</v>
      </c>
      <c r="DG274" s="409">
        <v>0.30403509200091516</v>
      </c>
      <c r="DH274" s="409">
        <v>0</v>
      </c>
      <c r="DI274" s="409">
        <v>-3.6475918853239975E-2</v>
      </c>
      <c r="DJ274" s="409"/>
      <c r="DK274" s="409">
        <v>0</v>
      </c>
      <c r="DL274" s="409">
        <v>0</v>
      </c>
      <c r="DM274" s="409">
        <v>0</v>
      </c>
      <c r="DN274" s="409">
        <v>0</v>
      </c>
      <c r="DO274" s="409">
        <v>-1.1453352856849452E-2</v>
      </c>
      <c r="DP274" s="409">
        <v>-2.0327023668312572E-2</v>
      </c>
      <c r="DQ274" s="409">
        <v>0</v>
      </c>
      <c r="DR274" s="409">
        <v>-0.43013386950291366</v>
      </c>
      <c r="DS274" s="409"/>
      <c r="DT274" s="409"/>
      <c r="DU274" s="409"/>
      <c r="DV274" s="409">
        <v>49.450653624870746</v>
      </c>
      <c r="DW274" s="409">
        <v>0</v>
      </c>
      <c r="DX274" s="409">
        <v>0</v>
      </c>
      <c r="DY274" s="409">
        <v>-10.460040000000006</v>
      </c>
      <c r="DZ274" s="409">
        <v>1.7004599999999996</v>
      </c>
      <c r="EA274" s="409">
        <v>0</v>
      </c>
      <c r="EB274" s="409">
        <v>0</v>
      </c>
      <c r="EC274" s="409">
        <v>-11.335252615266846</v>
      </c>
      <c r="ED274" s="409">
        <v>0</v>
      </c>
      <c r="EE274" s="409">
        <v>0</v>
      </c>
      <c r="EF274" s="409">
        <v>0</v>
      </c>
      <c r="EG274" s="409">
        <v>0</v>
      </c>
      <c r="EH274" s="409">
        <v>0</v>
      </c>
      <c r="EI274" s="409">
        <v>0</v>
      </c>
      <c r="EJ274" s="409">
        <v>0</v>
      </c>
      <c r="EK274" s="409">
        <v>0</v>
      </c>
      <c r="EL274" s="409">
        <v>0</v>
      </c>
      <c r="EM274" s="409">
        <v>0</v>
      </c>
      <c r="EN274" s="409">
        <v>0</v>
      </c>
      <c r="EO274" s="409">
        <v>0</v>
      </c>
      <c r="EP274" s="409">
        <v>0</v>
      </c>
      <c r="EQ274" s="409">
        <v>0</v>
      </c>
      <c r="ER274" s="409">
        <v>0</v>
      </c>
      <c r="ES274" s="409">
        <v>0</v>
      </c>
      <c r="ET274" s="409">
        <v>0</v>
      </c>
      <c r="EU274" s="409">
        <v>0</v>
      </c>
      <c r="EV274" s="409">
        <v>254</v>
      </c>
      <c r="EW274" s="409">
        <v>0</v>
      </c>
      <c r="EX274" s="409">
        <v>0</v>
      </c>
      <c r="EY274" s="409">
        <v>0</v>
      </c>
      <c r="EZ274" s="409"/>
      <c r="FA274" s="409">
        <v>0</v>
      </c>
      <c r="FB274" s="409"/>
      <c r="FC274" s="409"/>
      <c r="FD274" s="409"/>
      <c r="FE274" s="409"/>
      <c r="FF274" s="409">
        <v>0</v>
      </c>
      <c r="FG274" s="409">
        <v>0</v>
      </c>
      <c r="FH274" s="409">
        <v>0</v>
      </c>
      <c r="FI274" s="409">
        <v>0</v>
      </c>
    </row>
    <row r="275" spans="1:165">
      <c r="A275" s="409">
        <v>273</v>
      </c>
      <c r="B275" s="409" t="s">
        <v>1035</v>
      </c>
      <c r="C275" s="409" t="s">
        <v>2252</v>
      </c>
      <c r="D275" s="409" t="s">
        <v>1991</v>
      </c>
      <c r="E275" s="409" t="s">
        <v>968</v>
      </c>
      <c r="F275" s="409" t="s">
        <v>968</v>
      </c>
      <c r="G275" s="409" t="s">
        <v>1323</v>
      </c>
      <c r="H275" s="409" t="s">
        <v>1323</v>
      </c>
      <c r="I275" s="409" t="s">
        <v>1323</v>
      </c>
      <c r="J275" s="409" t="s">
        <v>2245</v>
      </c>
      <c r="K275" s="835">
        <v>44593</v>
      </c>
      <c r="L275" s="409">
        <v>0</v>
      </c>
      <c r="M275" s="409">
        <v>0</v>
      </c>
      <c r="N275" s="409">
        <v>0</v>
      </c>
      <c r="O275" s="409">
        <v>0</v>
      </c>
      <c r="P275" s="409">
        <v>0</v>
      </c>
      <c r="Q275" s="409">
        <v>0</v>
      </c>
      <c r="R275" s="409"/>
      <c r="S275" s="409"/>
      <c r="T275" s="409"/>
      <c r="U275" s="409"/>
      <c r="V275" s="409"/>
      <c r="W275" s="409"/>
      <c r="X275" s="409"/>
      <c r="Y275" s="409"/>
      <c r="Z275" s="409"/>
      <c r="AA275" s="409">
        <v>0</v>
      </c>
      <c r="AB275" s="409"/>
      <c r="AC275" s="409"/>
      <c r="AD275" s="409"/>
      <c r="AE275" s="409"/>
      <c r="AF275" s="409"/>
      <c r="AG275" s="409"/>
      <c r="AH275" s="409"/>
      <c r="AI275" s="409"/>
      <c r="AJ275" s="409"/>
      <c r="AK275" s="409"/>
      <c r="AL275" s="409"/>
      <c r="AM275" s="409"/>
      <c r="AN275" s="409"/>
      <c r="AO275" s="409"/>
      <c r="AP275" s="409"/>
      <c r="AQ275" s="409"/>
      <c r="AR275" s="409"/>
      <c r="AS275" s="409"/>
      <c r="AT275" s="409"/>
      <c r="AU275" s="409"/>
      <c r="AV275" s="409"/>
      <c r="AW275" s="409"/>
      <c r="AX275" s="409"/>
      <c r="AY275" s="409"/>
      <c r="AZ275" s="409">
        <v>0</v>
      </c>
      <c r="BA275" s="409"/>
      <c r="BB275" s="409"/>
      <c r="BC275" s="409"/>
      <c r="BD275" s="409"/>
      <c r="BE275" s="409"/>
      <c r="BF275" s="409"/>
      <c r="BG275" s="409"/>
      <c r="BH275" s="409"/>
      <c r="BI275" s="409">
        <v>0</v>
      </c>
      <c r="BJ275" s="409">
        <v>0</v>
      </c>
      <c r="BK275" s="409">
        <v>0</v>
      </c>
      <c r="BL275" s="409">
        <v>1</v>
      </c>
      <c r="BM275" s="409"/>
      <c r="BN275" s="409"/>
      <c r="BO275" s="409"/>
      <c r="BP275" s="409"/>
      <c r="BQ275" s="409"/>
      <c r="BR275" s="409"/>
      <c r="BS275" s="409"/>
      <c r="BT275" s="409"/>
      <c r="BU275" s="409"/>
      <c r="BV275" s="409"/>
      <c r="BW275" s="409"/>
      <c r="BX275" s="409"/>
      <c r="BY275" s="409"/>
      <c r="BZ275" s="409"/>
      <c r="CA275" s="409"/>
      <c r="CB275" s="409"/>
      <c r="CC275" s="409"/>
      <c r="CD275" s="409"/>
      <c r="CE275" s="409"/>
      <c r="CF275" s="409"/>
      <c r="CG275" s="409"/>
      <c r="CH275" s="409"/>
      <c r="CI275" s="409"/>
      <c r="CJ275" s="409">
        <v>-0.03</v>
      </c>
      <c r="CK275" s="409"/>
      <c r="CL275" s="409"/>
      <c r="CM275" s="409"/>
      <c r="CN275" s="409"/>
      <c r="CO275" s="409">
        <v>0</v>
      </c>
      <c r="CP275" s="409">
        <v>0</v>
      </c>
      <c r="CQ275" s="409">
        <v>29</v>
      </c>
      <c r="CR275" s="409"/>
      <c r="CS275" s="409"/>
      <c r="CT275" s="409"/>
      <c r="CU275" s="409"/>
      <c r="CV275" s="409"/>
      <c r="CW275" s="409"/>
      <c r="CX275" s="409"/>
      <c r="CY275" s="409"/>
      <c r="CZ275" s="409"/>
      <c r="DA275" s="409"/>
      <c r="DB275" s="409"/>
      <c r="DC275" s="409"/>
      <c r="DD275" s="409"/>
      <c r="DE275" s="409"/>
      <c r="DF275" s="409"/>
      <c r="DG275" s="409"/>
      <c r="DH275" s="409"/>
      <c r="DI275" s="409"/>
      <c r="DJ275" s="409"/>
      <c r="DK275" s="409">
        <v>0</v>
      </c>
      <c r="DL275" s="409"/>
      <c r="DM275" s="409"/>
      <c r="DN275" s="409"/>
      <c r="DO275" s="409"/>
      <c r="DP275" s="409"/>
      <c r="DQ275" s="409"/>
      <c r="DR275" s="409"/>
      <c r="DS275" s="409"/>
      <c r="DT275" s="409"/>
      <c r="DU275" s="409"/>
      <c r="DV275" s="409"/>
      <c r="DW275" s="409"/>
      <c r="DX275" s="409"/>
      <c r="DY275" s="409"/>
      <c r="DZ275" s="409"/>
      <c r="EA275" s="409"/>
      <c r="EB275" s="409"/>
      <c r="EC275" s="409"/>
      <c r="ED275" s="409"/>
      <c r="EE275" s="409"/>
      <c r="EF275" s="409"/>
      <c r="EG275" s="409"/>
      <c r="EH275" s="409"/>
      <c r="EI275" s="409"/>
      <c r="EJ275" s="409"/>
      <c r="EK275" s="409"/>
      <c r="EL275" s="409"/>
      <c r="EM275" s="409"/>
      <c r="EN275" s="409"/>
      <c r="EO275" s="409"/>
      <c r="EP275" s="409"/>
      <c r="EQ275" s="409"/>
      <c r="ER275" s="409"/>
      <c r="ES275" s="409"/>
      <c r="ET275" s="409"/>
      <c r="EU275" s="409"/>
      <c r="EV275" s="409">
        <v>254</v>
      </c>
      <c r="EW275" s="409"/>
      <c r="EX275" s="409"/>
      <c r="EY275" s="409"/>
      <c r="EZ275" s="409"/>
      <c r="FA275" s="409">
        <v>0</v>
      </c>
      <c r="FB275" s="409"/>
      <c r="FC275" s="409"/>
      <c r="FD275" s="409"/>
      <c r="FE275" s="409"/>
      <c r="FF275" s="409">
        <v>0</v>
      </c>
      <c r="FG275" s="409">
        <v>0</v>
      </c>
      <c r="FH275" s="409">
        <v>0</v>
      </c>
      <c r="FI275" s="409">
        <v>0</v>
      </c>
    </row>
    <row r="276" spans="1:165">
      <c r="A276" s="409">
        <v>274</v>
      </c>
      <c r="B276" s="409" t="s">
        <v>1035</v>
      </c>
      <c r="C276" s="409" t="s">
        <v>2252</v>
      </c>
      <c r="D276" s="409" t="s">
        <v>1991</v>
      </c>
      <c r="E276" s="409" t="s">
        <v>968</v>
      </c>
      <c r="F276" s="409" t="s">
        <v>968</v>
      </c>
      <c r="G276" s="409" t="s">
        <v>1323</v>
      </c>
      <c r="H276" s="409" t="s">
        <v>1323</v>
      </c>
      <c r="I276" s="409" t="s">
        <v>2253</v>
      </c>
      <c r="J276" s="409" t="s">
        <v>2245</v>
      </c>
      <c r="K276" s="835">
        <v>44593</v>
      </c>
      <c r="L276" s="409">
        <v>0</v>
      </c>
      <c r="M276" s="409">
        <v>0</v>
      </c>
      <c r="N276" s="409">
        <v>2E-3</v>
      </c>
      <c r="O276" s="409">
        <v>2E-3</v>
      </c>
      <c r="P276" s="409">
        <v>2E-3</v>
      </c>
      <c r="Q276" s="409">
        <v>2E-3</v>
      </c>
      <c r="R276" s="409"/>
      <c r="S276" s="409">
        <v>1018.79</v>
      </c>
      <c r="T276" s="409">
        <v>243.39</v>
      </c>
      <c r="U276" s="409"/>
      <c r="V276" s="409">
        <v>2.5243600000000002</v>
      </c>
      <c r="W276" s="409">
        <v>2.5243600000000002</v>
      </c>
      <c r="X276" s="409">
        <v>2.2239399999999998</v>
      </c>
      <c r="Y276" s="409">
        <v>0</v>
      </c>
      <c r="Z276" s="409">
        <v>4.9766954930395201E-2</v>
      </c>
      <c r="AA276" s="409">
        <v>0</v>
      </c>
      <c r="AB276" s="409">
        <v>0</v>
      </c>
      <c r="AC276" s="409">
        <v>0</v>
      </c>
      <c r="AD276" s="409">
        <v>0.42187901721834603</v>
      </c>
      <c r="AE276" s="409">
        <v>1.4761387266510981</v>
      </c>
      <c r="AF276" s="409">
        <v>0.48677448960251601</v>
      </c>
      <c r="AG276" s="409">
        <v>0</v>
      </c>
      <c r="AH276" s="409">
        <v>0</v>
      </c>
      <c r="AI276" s="409">
        <v>0</v>
      </c>
      <c r="AJ276" s="409">
        <v>0</v>
      </c>
      <c r="AK276" s="409">
        <v>0</v>
      </c>
      <c r="AL276" s="409">
        <v>2.0318181650825998E-2</v>
      </c>
      <c r="AM276" s="409"/>
      <c r="AN276" s="409">
        <v>3.4337428403144001E-3</v>
      </c>
      <c r="AO276" s="409">
        <v>0</v>
      </c>
      <c r="AP276" s="409">
        <v>0</v>
      </c>
      <c r="AQ276" s="409">
        <v>0</v>
      </c>
      <c r="AR276" s="409">
        <v>0</v>
      </c>
      <c r="AS276" s="409">
        <v>0</v>
      </c>
      <c r="AT276" s="409">
        <v>0</v>
      </c>
      <c r="AU276" s="409">
        <v>0</v>
      </c>
      <c r="AV276" s="409">
        <v>0</v>
      </c>
      <c r="AW276" s="409">
        <v>0</v>
      </c>
      <c r="AX276" s="409">
        <v>0</v>
      </c>
      <c r="AY276" s="409">
        <v>0</v>
      </c>
      <c r="AZ276" s="409">
        <v>0</v>
      </c>
      <c r="BA276" s="409"/>
      <c r="BB276" s="409">
        <v>0</v>
      </c>
      <c r="BC276" s="409">
        <v>0</v>
      </c>
      <c r="BD276" s="409">
        <v>0</v>
      </c>
      <c r="BE276" s="409">
        <v>0</v>
      </c>
      <c r="BF276" s="409">
        <v>0</v>
      </c>
      <c r="BG276" s="409">
        <v>6.6038658676298392E-2</v>
      </c>
      <c r="BH276" s="409">
        <v>0</v>
      </c>
      <c r="BI276" s="409">
        <v>0</v>
      </c>
      <c r="BJ276" s="409">
        <v>0</v>
      </c>
      <c r="BK276" s="409">
        <v>0</v>
      </c>
      <c r="BL276" s="409">
        <v>0</v>
      </c>
      <c r="BM276" s="409"/>
      <c r="BN276" s="409"/>
      <c r="BO276" s="409"/>
      <c r="BP276" s="409"/>
      <c r="BQ276" s="409"/>
      <c r="BR276" s="409"/>
      <c r="BS276" s="409"/>
      <c r="BT276" s="409"/>
      <c r="BU276" s="409"/>
      <c r="BV276" s="409">
        <v>0.55281314827881445</v>
      </c>
      <c r="BW276" s="409"/>
      <c r="BX276" s="409"/>
      <c r="BY276" s="409"/>
      <c r="BZ276" s="409"/>
      <c r="CA276" s="409"/>
      <c r="CB276" s="409"/>
      <c r="CC276" s="409"/>
      <c r="CD276" s="409"/>
      <c r="CE276" s="409"/>
      <c r="CF276" s="409"/>
      <c r="CG276" s="409"/>
      <c r="CH276" s="409"/>
      <c r="CI276" s="409">
        <v>0</v>
      </c>
      <c r="CJ276" s="409">
        <v>-2.5543599999999995</v>
      </c>
      <c r="CK276" s="409"/>
      <c r="CL276" s="409"/>
      <c r="CM276" s="409"/>
      <c r="CN276" s="409"/>
      <c r="CO276" s="409">
        <v>-0.3173399999999999</v>
      </c>
      <c r="CP276" s="409">
        <v>1.6920000000000015E-2</v>
      </c>
      <c r="CQ276" s="409">
        <v>29</v>
      </c>
      <c r="CR276" s="409">
        <v>3.7968067562393015E-2</v>
      </c>
      <c r="CS276" s="409">
        <v>0</v>
      </c>
      <c r="CT276" s="409">
        <v>0</v>
      </c>
      <c r="CU276" s="409">
        <v>0</v>
      </c>
      <c r="CV276" s="409">
        <v>0</v>
      </c>
      <c r="CW276" s="409">
        <v>0</v>
      </c>
      <c r="CX276" s="409">
        <v>0</v>
      </c>
      <c r="CY276" s="409">
        <v>0</v>
      </c>
      <c r="CZ276" s="409">
        <v>1.581650517724198E-2</v>
      </c>
      <c r="DA276" s="409">
        <v>0</v>
      </c>
      <c r="DB276" s="409">
        <v>0</v>
      </c>
      <c r="DC276" s="409">
        <v>2.2299093978244033E-2</v>
      </c>
      <c r="DD276" s="409">
        <v>0</v>
      </c>
      <c r="DE276" s="409">
        <v>0</v>
      </c>
      <c r="DF276" s="409">
        <v>0</v>
      </c>
      <c r="DG276" s="409">
        <v>3.0252247960290135E-3</v>
      </c>
      <c r="DH276" s="409">
        <v>0</v>
      </c>
      <c r="DI276" s="409">
        <v>-3.6294446620139392E-4</v>
      </c>
      <c r="DJ276" s="409"/>
      <c r="DK276" s="409">
        <v>0</v>
      </c>
      <c r="DL276" s="409">
        <v>0</v>
      </c>
      <c r="DM276" s="409">
        <v>0</v>
      </c>
      <c r="DN276" s="409">
        <v>0</v>
      </c>
      <c r="DO276" s="409">
        <v>-1.1396371001839989E-4</v>
      </c>
      <c r="DP276" s="409">
        <v>-2.0225894197326011E-4</v>
      </c>
      <c r="DQ276" s="409">
        <v>0</v>
      </c>
      <c r="DR276" s="409">
        <v>-2.4935892709286997E-3</v>
      </c>
      <c r="DS276" s="409"/>
      <c r="DT276" s="409"/>
      <c r="DU276" s="409"/>
      <c r="DV276" s="409">
        <v>1.4761387266510981</v>
      </c>
      <c r="DW276" s="409">
        <v>0</v>
      </c>
      <c r="DX276" s="409">
        <v>0</v>
      </c>
      <c r="DY276" s="409">
        <v>-0.31734000000000018</v>
      </c>
      <c r="DZ276" s="409">
        <v>1.6920000000000046E-2</v>
      </c>
      <c r="EA276" s="409">
        <v>0</v>
      </c>
      <c r="EB276" s="409">
        <v>0</v>
      </c>
      <c r="EC276" s="409">
        <v>-0.33836570672451227</v>
      </c>
      <c r="ED276" s="409">
        <v>0</v>
      </c>
      <c r="EE276" s="409">
        <v>0</v>
      </c>
      <c r="EF276" s="409">
        <v>0</v>
      </c>
      <c r="EG276" s="409">
        <v>0</v>
      </c>
      <c r="EH276" s="409">
        <v>0</v>
      </c>
      <c r="EI276" s="409">
        <v>0</v>
      </c>
      <c r="EJ276" s="409">
        <v>0</v>
      </c>
      <c r="EK276" s="409">
        <v>0</v>
      </c>
      <c r="EL276" s="409">
        <v>0</v>
      </c>
      <c r="EM276" s="409">
        <v>0</v>
      </c>
      <c r="EN276" s="409">
        <v>0</v>
      </c>
      <c r="EO276" s="409">
        <v>0</v>
      </c>
      <c r="EP276" s="409">
        <v>0</v>
      </c>
      <c r="EQ276" s="409">
        <v>0</v>
      </c>
      <c r="ER276" s="409">
        <v>0</v>
      </c>
      <c r="ES276" s="409">
        <v>0</v>
      </c>
      <c r="ET276" s="409">
        <v>0</v>
      </c>
      <c r="EU276" s="409">
        <v>0</v>
      </c>
      <c r="EV276" s="409">
        <v>254</v>
      </c>
      <c r="EW276" s="409">
        <v>0</v>
      </c>
      <c r="EX276" s="409">
        <v>0</v>
      </c>
      <c r="EY276" s="409">
        <v>0</v>
      </c>
      <c r="EZ276" s="409"/>
      <c r="FA276" s="409">
        <v>0</v>
      </c>
      <c r="FB276" s="409"/>
      <c r="FC276" s="409"/>
      <c r="FD276" s="409"/>
      <c r="FE276" s="409"/>
      <c r="FF276" s="409">
        <v>0</v>
      </c>
      <c r="FG276" s="409">
        <v>0</v>
      </c>
      <c r="FH276" s="409">
        <v>0</v>
      </c>
      <c r="FI276" s="409">
        <v>0</v>
      </c>
    </row>
    <row r="277" spans="1:165">
      <c r="A277" s="409">
        <v>275</v>
      </c>
      <c r="B277" s="409" t="s">
        <v>1035</v>
      </c>
      <c r="C277" s="409" t="s">
        <v>2244</v>
      </c>
      <c r="D277" s="409" t="s">
        <v>1994</v>
      </c>
      <c r="E277" s="409" t="s">
        <v>969</v>
      </c>
      <c r="F277" s="409" t="s">
        <v>1323</v>
      </c>
      <c r="G277" s="409" t="s">
        <v>1323</v>
      </c>
      <c r="H277" s="409" t="s">
        <v>1323</v>
      </c>
      <c r="I277" s="409" t="s">
        <v>1323</v>
      </c>
      <c r="J277" s="409" t="s">
        <v>2245</v>
      </c>
      <c r="K277" s="835">
        <v>44593</v>
      </c>
      <c r="L277" s="409">
        <v>0</v>
      </c>
      <c r="M277" s="409">
        <v>0</v>
      </c>
      <c r="N277" s="409">
        <v>0.39400000000000002</v>
      </c>
      <c r="O277" s="409">
        <v>0.39400000000000002</v>
      </c>
      <c r="P277" s="409">
        <v>0.39400000000000002</v>
      </c>
      <c r="Q277" s="409">
        <v>0.39400000000000002</v>
      </c>
      <c r="R277" s="409"/>
      <c r="S277" s="409">
        <v>597.01</v>
      </c>
      <c r="T277" s="409">
        <v>243.39</v>
      </c>
      <c r="U277" s="409"/>
      <c r="V277" s="409">
        <v>331.11760000000004</v>
      </c>
      <c r="W277" s="409">
        <v>331.11760000000004</v>
      </c>
      <c r="X277" s="409">
        <v>299.94432</v>
      </c>
      <c r="Y277" s="409">
        <v>0</v>
      </c>
      <c r="Z277" s="409">
        <v>9.8040901212878548</v>
      </c>
      <c r="AA277" s="409">
        <v>0</v>
      </c>
      <c r="AB277" s="409">
        <v>0</v>
      </c>
      <c r="AC277" s="409">
        <v>0</v>
      </c>
      <c r="AD277" s="409">
        <v>46.172491850258837</v>
      </c>
      <c r="AE277" s="409">
        <v>161.55517875656369</v>
      </c>
      <c r="AF277" s="409">
        <v>95.894574451695647</v>
      </c>
      <c r="AG277" s="409">
        <v>0</v>
      </c>
      <c r="AH277" s="409">
        <v>0</v>
      </c>
      <c r="AI277" s="409">
        <v>0</v>
      </c>
      <c r="AJ277" s="409">
        <v>0</v>
      </c>
      <c r="AK277" s="409">
        <v>0</v>
      </c>
      <c r="AL277" s="409">
        <v>4.0026817852127214</v>
      </c>
      <c r="AM277" s="409"/>
      <c r="AN277" s="409">
        <v>0.67644733954193681</v>
      </c>
      <c r="AO277" s="409">
        <v>0</v>
      </c>
      <c r="AP277" s="409">
        <v>0</v>
      </c>
      <c r="AQ277" s="409">
        <v>0</v>
      </c>
      <c r="AR277" s="409">
        <v>0</v>
      </c>
      <c r="AS277" s="409">
        <v>0</v>
      </c>
      <c r="AT277" s="409">
        <v>0</v>
      </c>
      <c r="AU277" s="409">
        <v>0</v>
      </c>
      <c r="AV277" s="409">
        <v>0</v>
      </c>
      <c r="AW277" s="409">
        <v>0</v>
      </c>
      <c r="AX277" s="409">
        <v>0</v>
      </c>
      <c r="AY277" s="409">
        <v>0</v>
      </c>
      <c r="AZ277" s="409">
        <v>0</v>
      </c>
      <c r="BA277" s="409"/>
      <c r="BB277" s="409">
        <v>0</v>
      </c>
      <c r="BC277" s="409">
        <v>0</v>
      </c>
      <c r="BD277" s="409">
        <v>0</v>
      </c>
      <c r="BE277" s="409">
        <v>0</v>
      </c>
      <c r="BF277" s="409">
        <v>0</v>
      </c>
      <c r="BG277" s="409">
        <v>13.009615759230785</v>
      </c>
      <c r="BH277" s="409">
        <v>0</v>
      </c>
      <c r="BI277" s="409">
        <v>0</v>
      </c>
      <c r="BJ277" s="409">
        <v>0</v>
      </c>
      <c r="BK277" s="409">
        <v>0</v>
      </c>
      <c r="BL277" s="409">
        <v>3</v>
      </c>
      <c r="BM277" s="409"/>
      <c r="BN277" s="409"/>
      <c r="BO277" s="409"/>
      <c r="BP277" s="409"/>
      <c r="BQ277" s="409"/>
      <c r="BR277" s="409"/>
      <c r="BS277" s="409"/>
      <c r="BT277" s="409"/>
      <c r="BU277" s="409"/>
      <c r="BV277" s="409">
        <v>108.90419021092643</v>
      </c>
      <c r="BW277" s="409"/>
      <c r="BX277" s="409"/>
      <c r="BY277" s="409"/>
      <c r="BZ277" s="409"/>
      <c r="CA277" s="409"/>
      <c r="CB277" s="409"/>
      <c r="CC277" s="409"/>
      <c r="CD277" s="409"/>
      <c r="CE277" s="409"/>
      <c r="CF277" s="409"/>
      <c r="CG277" s="409"/>
      <c r="CH277" s="409"/>
      <c r="CI277" s="409">
        <v>296.89920000000001</v>
      </c>
      <c r="CJ277" s="409">
        <v>-34.248400000000004</v>
      </c>
      <c r="CK277" s="409"/>
      <c r="CL277" s="409"/>
      <c r="CM277" s="409"/>
      <c r="CN277" s="409"/>
      <c r="CO277" s="409">
        <v>-34.506519999999995</v>
      </c>
      <c r="CP277" s="409">
        <v>3.3332400000000031</v>
      </c>
      <c r="CQ277" s="409">
        <v>29</v>
      </c>
      <c r="CR277" s="409">
        <v>5.8602862662759208</v>
      </c>
      <c r="CS277" s="409">
        <v>0</v>
      </c>
      <c r="CT277" s="409">
        <v>0</v>
      </c>
      <c r="CU277" s="409">
        <v>0</v>
      </c>
      <c r="CV277" s="409">
        <v>0</v>
      </c>
      <c r="CW277" s="409">
        <v>0</v>
      </c>
      <c r="CX277" s="409">
        <v>0</v>
      </c>
      <c r="CY277" s="409">
        <v>0</v>
      </c>
      <c r="CZ277" s="409">
        <v>1.73103526506479</v>
      </c>
      <c r="DA277" s="409">
        <v>0</v>
      </c>
      <c r="DB277" s="409">
        <v>0</v>
      </c>
      <c r="DC277" s="409">
        <v>4.3929215137140716</v>
      </c>
      <c r="DD277" s="409">
        <v>0</v>
      </c>
      <c r="DE277" s="409">
        <v>0</v>
      </c>
      <c r="DF277" s="409">
        <v>0</v>
      </c>
      <c r="DG277" s="409">
        <v>0.5959692848177145</v>
      </c>
      <c r="DH277" s="409">
        <v>0</v>
      </c>
      <c r="DI277" s="409">
        <v>-7.1500059841675068E-2</v>
      </c>
      <c r="DJ277" s="409"/>
      <c r="DK277" s="409">
        <v>0</v>
      </c>
      <c r="DL277" s="409">
        <v>0</v>
      </c>
      <c r="DM277" s="409">
        <v>0</v>
      </c>
      <c r="DN277" s="409">
        <v>0</v>
      </c>
      <c r="DO277" s="409">
        <v>-2.2450850873624528E-2</v>
      </c>
      <c r="DP277" s="409">
        <v>-3.9845011568732214E-2</v>
      </c>
      <c r="DQ277" s="409">
        <v>0</v>
      </c>
      <c r="DR277" s="409">
        <v>-0.72584387503662562</v>
      </c>
      <c r="DS277" s="409"/>
      <c r="DT277" s="409"/>
      <c r="DU277" s="409"/>
      <c r="DV277" s="409">
        <v>161.55517875656369</v>
      </c>
      <c r="DW277" s="409">
        <v>0</v>
      </c>
      <c r="DX277" s="409">
        <v>0</v>
      </c>
      <c r="DY277" s="409">
        <v>-34.506519999999995</v>
      </c>
      <c r="DZ277" s="409">
        <v>3.3332400000000035</v>
      </c>
      <c r="EA277" s="409">
        <v>0</v>
      </c>
      <c r="EB277" s="409">
        <v>0</v>
      </c>
      <c r="EC277" s="409">
        <v>-37.032245850623454</v>
      </c>
      <c r="ED277" s="409">
        <v>0</v>
      </c>
      <c r="EE277" s="409">
        <v>0</v>
      </c>
      <c r="EF277" s="409">
        <v>0</v>
      </c>
      <c r="EG277" s="409">
        <v>0</v>
      </c>
      <c r="EH277" s="409">
        <v>0</v>
      </c>
      <c r="EI277" s="409">
        <v>0</v>
      </c>
      <c r="EJ277" s="409">
        <v>0</v>
      </c>
      <c r="EK277" s="409">
        <v>0</v>
      </c>
      <c r="EL277" s="409">
        <v>0</v>
      </c>
      <c r="EM277" s="409">
        <v>0</v>
      </c>
      <c r="EN277" s="409">
        <v>0</v>
      </c>
      <c r="EO277" s="409">
        <v>0</v>
      </c>
      <c r="EP277" s="409">
        <v>0</v>
      </c>
      <c r="EQ277" s="409">
        <v>0</v>
      </c>
      <c r="ER277" s="409">
        <v>0</v>
      </c>
      <c r="ES277" s="409">
        <v>0</v>
      </c>
      <c r="ET277" s="409">
        <v>0</v>
      </c>
      <c r="EU277" s="409">
        <v>0</v>
      </c>
      <c r="EV277" s="409">
        <v>254</v>
      </c>
      <c r="EW277" s="409">
        <v>0</v>
      </c>
      <c r="EX277" s="409">
        <v>0</v>
      </c>
      <c r="EY277" s="409">
        <v>0</v>
      </c>
      <c r="EZ277" s="409"/>
      <c r="FA277" s="409">
        <v>0</v>
      </c>
      <c r="FB277" s="409"/>
      <c r="FC277" s="409"/>
      <c r="FD277" s="409"/>
      <c r="FE277" s="409"/>
      <c r="FF277" s="409">
        <v>0</v>
      </c>
      <c r="FG277" s="409">
        <v>0</v>
      </c>
      <c r="FH277" s="409">
        <v>0</v>
      </c>
      <c r="FI277" s="409">
        <v>0</v>
      </c>
    </row>
    <row r="278" spans="1:165">
      <c r="A278" s="409">
        <v>276</v>
      </c>
      <c r="B278" s="409" t="s">
        <v>1035</v>
      </c>
      <c r="C278" s="409" t="s">
        <v>2251</v>
      </c>
      <c r="D278" s="409" t="s">
        <v>596</v>
      </c>
      <c r="E278" s="409" t="s">
        <v>969</v>
      </c>
      <c r="F278" s="409" t="s">
        <v>1323</v>
      </c>
      <c r="G278" s="409" t="s">
        <v>1323</v>
      </c>
      <c r="H278" s="409" t="s">
        <v>1323</v>
      </c>
      <c r="I278" s="409" t="s">
        <v>972</v>
      </c>
      <c r="J278" s="409" t="s">
        <v>2245</v>
      </c>
      <c r="K278" s="835">
        <v>44593</v>
      </c>
      <c r="L278" s="409">
        <v>0</v>
      </c>
      <c r="M278" s="409">
        <v>0</v>
      </c>
      <c r="N278" s="409">
        <v>0.14399999999999999</v>
      </c>
      <c r="O278" s="409">
        <v>0.14399999999999999</v>
      </c>
      <c r="P278" s="409">
        <v>0.14399999999999999</v>
      </c>
      <c r="Q278" s="409">
        <v>0.14399999999999999</v>
      </c>
      <c r="R278" s="409"/>
      <c r="S278" s="409">
        <v>2773.91</v>
      </c>
      <c r="T278" s="409">
        <v>243.39</v>
      </c>
      <c r="U278" s="409"/>
      <c r="V278" s="409">
        <v>434.49119999999994</v>
      </c>
      <c r="W278" s="409">
        <v>434.49119999999994</v>
      </c>
      <c r="X278" s="409">
        <v>374.02127999999993</v>
      </c>
      <c r="Y278" s="409">
        <v>0</v>
      </c>
      <c r="Z278" s="409">
        <v>3.1174020568399534</v>
      </c>
      <c r="AA278" s="409">
        <v>0</v>
      </c>
      <c r="AB278" s="409">
        <v>0</v>
      </c>
      <c r="AC278" s="409">
        <v>0</v>
      </c>
      <c r="AD278" s="409">
        <v>103.753082774342</v>
      </c>
      <c r="AE278" s="409">
        <v>288.82737357080686</v>
      </c>
      <c r="AF278" s="409">
        <v>35.047763251381149</v>
      </c>
      <c r="AG278" s="409">
        <v>0</v>
      </c>
      <c r="AH278" s="409">
        <v>0</v>
      </c>
      <c r="AI278" s="409">
        <v>0</v>
      </c>
      <c r="AJ278" s="409">
        <v>0</v>
      </c>
      <c r="AK278" s="409">
        <v>0</v>
      </c>
      <c r="AL278" s="409">
        <v>1.4629090788594719</v>
      </c>
      <c r="AM278" s="409"/>
      <c r="AN278" s="409">
        <v>9.9889707066521172E-2</v>
      </c>
      <c r="AO278" s="409">
        <v>0</v>
      </c>
      <c r="AP278" s="409">
        <v>0</v>
      </c>
      <c r="AQ278" s="409">
        <v>0</v>
      </c>
      <c r="AR278" s="409">
        <v>0</v>
      </c>
      <c r="AS278" s="409">
        <v>0</v>
      </c>
      <c r="AT278" s="409">
        <v>0</v>
      </c>
      <c r="AU278" s="409">
        <v>0</v>
      </c>
      <c r="AV278" s="409">
        <v>0</v>
      </c>
      <c r="AW278" s="409">
        <v>0</v>
      </c>
      <c r="AX278" s="409">
        <v>0</v>
      </c>
      <c r="AY278" s="409">
        <v>0</v>
      </c>
      <c r="AZ278" s="409">
        <v>0</v>
      </c>
      <c r="BA278" s="409"/>
      <c r="BB278" s="409">
        <v>0</v>
      </c>
      <c r="BC278" s="409">
        <v>0</v>
      </c>
      <c r="BD278" s="409">
        <v>0</v>
      </c>
      <c r="BE278" s="409">
        <v>0</v>
      </c>
      <c r="BF278" s="409">
        <v>0</v>
      </c>
      <c r="BG278" s="409">
        <v>2.1829145660835549</v>
      </c>
      <c r="BH278" s="409">
        <v>0</v>
      </c>
      <c r="BI278" s="409">
        <v>0</v>
      </c>
      <c r="BJ278" s="409">
        <v>0</v>
      </c>
      <c r="BK278" s="409">
        <v>0</v>
      </c>
      <c r="BL278" s="409">
        <v>0</v>
      </c>
      <c r="BM278" s="409"/>
      <c r="BN278" s="409"/>
      <c r="BO278" s="409"/>
      <c r="BP278" s="409"/>
      <c r="BQ278" s="409"/>
      <c r="BR278" s="409"/>
      <c r="BS278" s="409"/>
      <c r="BT278" s="409"/>
      <c r="BU278" s="409"/>
      <c r="BV278" s="409">
        <v>37.230677817464702</v>
      </c>
      <c r="BW278" s="409"/>
      <c r="BX278" s="409"/>
      <c r="BY278" s="409"/>
      <c r="BZ278" s="409"/>
      <c r="CA278" s="409"/>
      <c r="CB278" s="409"/>
      <c r="CC278" s="409"/>
      <c r="CD278" s="409"/>
      <c r="CE278" s="409"/>
      <c r="CF278" s="409"/>
      <c r="CG278" s="409"/>
      <c r="CH278" s="409"/>
      <c r="CI278" s="409">
        <v>363.63180000000006</v>
      </c>
      <c r="CJ278" s="409">
        <v>-70.889399999999853</v>
      </c>
      <c r="CK278" s="409"/>
      <c r="CL278" s="409"/>
      <c r="CM278" s="409"/>
      <c r="CN278" s="409"/>
      <c r="CO278" s="409">
        <v>-61.688159999999975</v>
      </c>
      <c r="CP278" s="409">
        <v>1.2182400000000011</v>
      </c>
      <c r="CQ278" s="409">
        <v>29</v>
      </c>
      <c r="CR278" s="409">
        <v>5.7357410754165414</v>
      </c>
      <c r="CS278" s="409">
        <v>0</v>
      </c>
      <c r="CT278" s="409">
        <v>0</v>
      </c>
      <c r="CU278" s="409">
        <v>0</v>
      </c>
      <c r="CV278" s="409">
        <v>0</v>
      </c>
      <c r="CW278" s="409">
        <v>0</v>
      </c>
      <c r="CX278" s="409">
        <v>0</v>
      </c>
      <c r="CY278" s="409">
        <v>0</v>
      </c>
      <c r="CZ278" s="409">
        <v>3.8897672173296627</v>
      </c>
      <c r="DA278" s="409">
        <v>0</v>
      </c>
      <c r="DB278" s="409">
        <v>0</v>
      </c>
      <c r="DC278" s="409">
        <v>1.6055347664335642</v>
      </c>
      <c r="DD278" s="409">
        <v>0</v>
      </c>
      <c r="DE278" s="409">
        <v>0</v>
      </c>
      <c r="DF278" s="409">
        <v>0</v>
      </c>
      <c r="DG278" s="409">
        <v>9.9999112721227412E-2</v>
      </c>
      <c r="DH278" s="409">
        <v>0</v>
      </c>
      <c r="DI278" s="409">
        <v>-2.2734841362854308E-2</v>
      </c>
      <c r="DJ278" s="409"/>
      <c r="DK278" s="409">
        <v>0</v>
      </c>
      <c r="DL278" s="409">
        <v>0</v>
      </c>
      <c r="DM278" s="409">
        <v>0</v>
      </c>
      <c r="DN278" s="409">
        <v>0</v>
      </c>
      <c r="DO278" s="409">
        <v>-8.205387121324792E-3</v>
      </c>
      <c r="DP278" s="409">
        <v>-5.8838379590021722E-3</v>
      </c>
      <c r="DQ278" s="409">
        <v>0</v>
      </c>
      <c r="DR278" s="409">
        <v>0.17726404537522522</v>
      </c>
      <c r="DS278" s="409"/>
      <c r="DT278" s="409"/>
      <c r="DU278" s="409"/>
      <c r="DV278" s="409">
        <v>288.82737357080686</v>
      </c>
      <c r="DW278" s="409">
        <v>0</v>
      </c>
      <c r="DX278" s="409">
        <v>0</v>
      </c>
      <c r="DY278" s="409">
        <v>-61.688159999999982</v>
      </c>
      <c r="DZ278" s="409">
        <v>1.2182400000000015</v>
      </c>
      <c r="EA278" s="409">
        <v>0</v>
      </c>
      <c r="EB278" s="409">
        <v>0</v>
      </c>
      <c r="EC278" s="409">
        <v>-66.206025636484299</v>
      </c>
      <c r="ED278" s="409">
        <v>0</v>
      </c>
      <c r="EE278" s="409">
        <v>0</v>
      </c>
      <c r="EF278" s="409">
        <v>0</v>
      </c>
      <c r="EG278" s="409">
        <v>0</v>
      </c>
      <c r="EH278" s="409">
        <v>0</v>
      </c>
      <c r="EI278" s="409">
        <v>0</v>
      </c>
      <c r="EJ278" s="409">
        <v>0</v>
      </c>
      <c r="EK278" s="409">
        <v>0</v>
      </c>
      <c r="EL278" s="409">
        <v>0</v>
      </c>
      <c r="EM278" s="409">
        <v>0</v>
      </c>
      <c r="EN278" s="409">
        <v>0</v>
      </c>
      <c r="EO278" s="409">
        <v>0</v>
      </c>
      <c r="EP278" s="409">
        <v>0</v>
      </c>
      <c r="EQ278" s="409">
        <v>0</v>
      </c>
      <c r="ER278" s="409">
        <v>0</v>
      </c>
      <c r="ES278" s="409">
        <v>0</v>
      </c>
      <c r="ET278" s="409">
        <v>0</v>
      </c>
      <c r="EU278" s="409">
        <v>0</v>
      </c>
      <c r="EV278" s="409">
        <v>254</v>
      </c>
      <c r="EW278" s="409">
        <v>0</v>
      </c>
      <c r="EX278" s="409">
        <v>0</v>
      </c>
      <c r="EY278" s="409">
        <v>0</v>
      </c>
      <c r="EZ278" s="409"/>
      <c r="FA278" s="409">
        <v>0</v>
      </c>
      <c r="FB278" s="409"/>
      <c r="FC278" s="409"/>
      <c r="FD278" s="409"/>
      <c r="FE278" s="409"/>
      <c r="FF278" s="409">
        <v>0</v>
      </c>
      <c r="FG278" s="409">
        <v>0</v>
      </c>
      <c r="FH278" s="409">
        <v>0</v>
      </c>
      <c r="FI278" s="409">
        <v>0</v>
      </c>
    </row>
    <row r="279" spans="1:165">
      <c r="A279" s="409">
        <v>277</v>
      </c>
      <c r="B279" s="409" t="s">
        <v>1035</v>
      </c>
      <c r="C279" s="409" t="s">
        <v>2251</v>
      </c>
      <c r="D279" s="409" t="s">
        <v>596</v>
      </c>
      <c r="E279" s="409" t="s">
        <v>969</v>
      </c>
      <c r="F279" s="409" t="s">
        <v>1323</v>
      </c>
      <c r="G279" s="409" t="s">
        <v>1323</v>
      </c>
      <c r="H279" s="409" t="s">
        <v>1323</v>
      </c>
      <c r="I279" s="409" t="s">
        <v>2237</v>
      </c>
      <c r="J279" s="409" t="s">
        <v>2245</v>
      </c>
      <c r="K279" s="835">
        <v>44593</v>
      </c>
      <c r="L279" s="409">
        <v>0</v>
      </c>
      <c r="M279" s="409">
        <v>0</v>
      </c>
      <c r="N279" s="409">
        <v>23.384</v>
      </c>
      <c r="O279" s="409">
        <v>23.384</v>
      </c>
      <c r="P279" s="409">
        <v>23.384</v>
      </c>
      <c r="Q279" s="409">
        <v>23.384</v>
      </c>
      <c r="R279" s="409"/>
      <c r="S279" s="409">
        <v>47.66</v>
      </c>
      <c r="T279" s="409">
        <v>243.39</v>
      </c>
      <c r="U279" s="409"/>
      <c r="V279" s="409">
        <v>6805.9131999999991</v>
      </c>
      <c r="W279" s="409">
        <v>6805.9131999999991</v>
      </c>
      <c r="X279" s="409">
        <v>7015.6676800000005</v>
      </c>
      <c r="Y279" s="409">
        <v>0</v>
      </c>
      <c r="Z279" s="409">
        <v>506.23145623017695</v>
      </c>
      <c r="AA279" s="409">
        <v>0</v>
      </c>
      <c r="AB279" s="409">
        <v>0</v>
      </c>
      <c r="AC279" s="409">
        <v>0</v>
      </c>
      <c r="AD279" s="409">
        <v>0</v>
      </c>
      <c r="AE279" s="409">
        <v>0</v>
      </c>
      <c r="AF279" s="409">
        <v>5691.3673324326173</v>
      </c>
      <c r="AG279" s="409">
        <v>0</v>
      </c>
      <c r="AH279" s="409">
        <v>0</v>
      </c>
      <c r="AI279" s="409">
        <v>0</v>
      </c>
      <c r="AJ279" s="409">
        <v>0</v>
      </c>
      <c r="AK279" s="409">
        <v>0</v>
      </c>
      <c r="AL279" s="409">
        <v>237.56017986145758</v>
      </c>
      <c r="AM279" s="409"/>
      <c r="AN279" s="409">
        <v>16.220978541968968</v>
      </c>
      <c r="AO279" s="409">
        <v>0</v>
      </c>
      <c r="AP279" s="409">
        <v>0</v>
      </c>
      <c r="AQ279" s="409">
        <v>0</v>
      </c>
      <c r="AR279" s="409">
        <v>0</v>
      </c>
      <c r="AS279" s="409">
        <v>0</v>
      </c>
      <c r="AT279" s="409">
        <v>0</v>
      </c>
      <c r="AU279" s="409">
        <v>0</v>
      </c>
      <c r="AV279" s="409">
        <v>0</v>
      </c>
      <c r="AW279" s="409">
        <v>0</v>
      </c>
      <c r="AX279" s="409">
        <v>0</v>
      </c>
      <c r="AY279" s="409">
        <v>0</v>
      </c>
      <c r="AZ279" s="409">
        <v>0</v>
      </c>
      <c r="BA279" s="409"/>
      <c r="BB279" s="409">
        <v>0</v>
      </c>
      <c r="BC279" s="409">
        <v>0</v>
      </c>
      <c r="BD279" s="409">
        <v>0</v>
      </c>
      <c r="BE279" s="409">
        <v>0</v>
      </c>
      <c r="BF279" s="409">
        <v>0</v>
      </c>
      <c r="BG279" s="409">
        <v>354.48107092567955</v>
      </c>
      <c r="BH279" s="409">
        <v>0</v>
      </c>
      <c r="BI279" s="409">
        <v>0</v>
      </c>
      <c r="BJ279" s="409">
        <v>0</v>
      </c>
      <c r="BK279" s="409">
        <v>0</v>
      </c>
      <c r="BL279" s="409">
        <v>0</v>
      </c>
      <c r="BM279" s="409"/>
      <c r="BN279" s="409"/>
      <c r="BO279" s="409"/>
      <c r="BP279" s="409"/>
      <c r="BQ279" s="409"/>
      <c r="BR279" s="409"/>
      <c r="BS279" s="409"/>
      <c r="BT279" s="409"/>
      <c r="BU279" s="409"/>
      <c r="BV279" s="409">
        <v>6045.8484033582972</v>
      </c>
      <c r="BW279" s="409"/>
      <c r="BX279" s="409"/>
      <c r="BY279" s="409"/>
      <c r="BZ279" s="409"/>
      <c r="CA279" s="409"/>
      <c r="CB279" s="409"/>
      <c r="CC279" s="409"/>
      <c r="CD279" s="409"/>
      <c r="CE279" s="409"/>
      <c r="CF279" s="409"/>
      <c r="CG279" s="409"/>
      <c r="CH279" s="409"/>
      <c r="CI279" s="409">
        <v>7014.4675999999999</v>
      </c>
      <c r="CJ279" s="409">
        <v>208.52440000000024</v>
      </c>
      <c r="CK279" s="409"/>
      <c r="CL279" s="409"/>
      <c r="CM279" s="409"/>
      <c r="CN279" s="409"/>
      <c r="CO279" s="409">
        <v>11.92584000000012</v>
      </c>
      <c r="CP279" s="409">
        <v>197.82864000000018</v>
      </c>
      <c r="CQ279" s="409">
        <v>29</v>
      </c>
      <c r="CR279" s="409">
        <v>209.76574169150081</v>
      </c>
      <c r="CS279" s="409">
        <v>0</v>
      </c>
      <c r="CT279" s="409">
        <v>0</v>
      </c>
      <c r="CU279" s="409">
        <v>0</v>
      </c>
      <c r="CV279" s="409">
        <v>0</v>
      </c>
      <c r="CW279" s="409">
        <v>0</v>
      </c>
      <c r="CX279" s="409">
        <v>0</v>
      </c>
      <c r="CY279" s="409">
        <v>0</v>
      </c>
      <c r="CZ279" s="409">
        <v>0</v>
      </c>
      <c r="DA279" s="409">
        <v>0</v>
      </c>
      <c r="DB279" s="409">
        <v>0</v>
      </c>
      <c r="DC279" s="409">
        <v>260.72100679362848</v>
      </c>
      <c r="DD279" s="409">
        <v>0</v>
      </c>
      <c r="DE279" s="409">
        <v>0</v>
      </c>
      <c r="DF279" s="409">
        <v>0</v>
      </c>
      <c r="DG279" s="409">
        <v>16.238744804674809</v>
      </c>
      <c r="DH279" s="409">
        <v>0</v>
      </c>
      <c r="DI279" s="409">
        <v>-3.6918856279791044</v>
      </c>
      <c r="DJ279" s="409"/>
      <c r="DK279" s="409">
        <v>0</v>
      </c>
      <c r="DL279" s="409">
        <v>0</v>
      </c>
      <c r="DM279" s="409">
        <v>0</v>
      </c>
      <c r="DN279" s="409">
        <v>0</v>
      </c>
      <c r="DO279" s="409">
        <v>-1.3324636975351325</v>
      </c>
      <c r="DP279" s="409">
        <v>-0.95546990856463054</v>
      </c>
      <c r="DQ279" s="409">
        <v>0</v>
      </c>
      <c r="DR279" s="409">
        <v>-61.214190672723156</v>
      </c>
      <c r="DS279" s="409"/>
      <c r="DT279" s="409"/>
      <c r="DU279" s="409"/>
      <c r="DV279" s="409">
        <v>0</v>
      </c>
      <c r="DW279" s="409">
        <v>0</v>
      </c>
      <c r="DX279" s="409">
        <v>0</v>
      </c>
      <c r="DY279" s="409">
        <v>11.925840000000107</v>
      </c>
      <c r="DZ279" s="409">
        <v>197.82864000000063</v>
      </c>
      <c r="EA279" s="409">
        <v>0</v>
      </c>
      <c r="EB279" s="409">
        <v>0</v>
      </c>
      <c r="EC279" s="409">
        <v>0</v>
      </c>
      <c r="ED279" s="409">
        <v>0</v>
      </c>
      <c r="EE279" s="409">
        <v>0</v>
      </c>
      <c r="EF279" s="409">
        <v>0</v>
      </c>
      <c r="EG279" s="409">
        <v>0</v>
      </c>
      <c r="EH279" s="409">
        <v>0</v>
      </c>
      <c r="EI279" s="409">
        <v>0</v>
      </c>
      <c r="EJ279" s="409">
        <v>0</v>
      </c>
      <c r="EK279" s="409">
        <v>0</v>
      </c>
      <c r="EL279" s="409">
        <v>0</v>
      </c>
      <c r="EM279" s="409">
        <v>0</v>
      </c>
      <c r="EN279" s="409">
        <v>0</v>
      </c>
      <c r="EO279" s="409">
        <v>0</v>
      </c>
      <c r="EP279" s="409">
        <v>0</v>
      </c>
      <c r="EQ279" s="409">
        <v>0</v>
      </c>
      <c r="ER279" s="409">
        <v>0</v>
      </c>
      <c r="ES279" s="409">
        <v>0</v>
      </c>
      <c r="ET279" s="409">
        <v>0</v>
      </c>
      <c r="EU279" s="409">
        <v>0</v>
      </c>
      <c r="EV279" s="409">
        <v>254</v>
      </c>
      <c r="EW279" s="409">
        <v>0</v>
      </c>
      <c r="EX279" s="409">
        <v>0</v>
      </c>
      <c r="EY279" s="409">
        <v>0</v>
      </c>
      <c r="EZ279" s="409"/>
      <c r="FA279" s="409">
        <v>0</v>
      </c>
      <c r="FB279" s="409"/>
      <c r="FC279" s="409"/>
      <c r="FD279" s="409"/>
      <c r="FE279" s="409"/>
      <c r="FF279" s="409">
        <v>0</v>
      </c>
      <c r="FG279" s="409">
        <v>0</v>
      </c>
      <c r="FH279" s="409">
        <v>0</v>
      </c>
      <c r="FI279" s="409">
        <v>0</v>
      </c>
    </row>
    <row r="280" spans="1:165">
      <c r="A280" s="409">
        <v>278</v>
      </c>
      <c r="B280" s="409" t="s">
        <v>1035</v>
      </c>
      <c r="C280" s="409" t="s">
        <v>2251</v>
      </c>
      <c r="D280" s="409" t="s">
        <v>596</v>
      </c>
      <c r="E280" s="409" t="s">
        <v>969</v>
      </c>
      <c r="F280" s="409" t="s">
        <v>1323</v>
      </c>
      <c r="G280" s="409" t="s">
        <v>1323</v>
      </c>
      <c r="H280" s="409" t="s">
        <v>1323</v>
      </c>
      <c r="I280" s="409" t="s">
        <v>1323</v>
      </c>
      <c r="J280" s="409" t="s">
        <v>2245</v>
      </c>
      <c r="K280" s="835">
        <v>44593</v>
      </c>
      <c r="L280" s="409">
        <v>120</v>
      </c>
      <c r="M280" s="409">
        <v>120</v>
      </c>
      <c r="N280" s="409">
        <v>0</v>
      </c>
      <c r="O280" s="409">
        <v>0</v>
      </c>
      <c r="P280" s="409">
        <v>0</v>
      </c>
      <c r="Q280" s="409">
        <v>0</v>
      </c>
      <c r="R280" s="409">
        <v>50.27</v>
      </c>
      <c r="S280" s="409"/>
      <c r="T280" s="409"/>
      <c r="U280" s="409">
        <v>6032.4000000000005</v>
      </c>
      <c r="V280" s="409"/>
      <c r="W280" s="409">
        <v>6032.4000000000005</v>
      </c>
      <c r="X280" s="409">
        <v>5424</v>
      </c>
      <c r="Y280" s="409">
        <v>0</v>
      </c>
      <c r="Z280" s="409">
        <v>0</v>
      </c>
      <c r="AA280" s="409">
        <v>0</v>
      </c>
      <c r="AB280" s="409">
        <v>0</v>
      </c>
      <c r="AC280" s="409">
        <v>0</v>
      </c>
      <c r="AD280" s="409">
        <v>2875.1919811512239</v>
      </c>
      <c r="AE280" s="409">
        <v>3156.6615245067596</v>
      </c>
      <c r="AF280" s="409"/>
      <c r="AG280" s="409"/>
      <c r="AH280" s="409"/>
      <c r="AI280" s="409">
        <v>0</v>
      </c>
      <c r="AJ280" s="409">
        <v>0</v>
      </c>
      <c r="AK280" s="409">
        <v>0</v>
      </c>
      <c r="AL280" s="409">
        <v>0</v>
      </c>
      <c r="AM280" s="409"/>
      <c r="AN280" s="409">
        <v>0</v>
      </c>
      <c r="AO280" s="409">
        <v>0</v>
      </c>
      <c r="AP280" s="409">
        <v>0</v>
      </c>
      <c r="AQ280" s="409">
        <v>0</v>
      </c>
      <c r="AR280" s="409">
        <v>0</v>
      </c>
      <c r="AS280" s="409"/>
      <c r="AT280" s="409"/>
      <c r="AU280" s="409">
        <v>0</v>
      </c>
      <c r="AV280" s="409">
        <v>0</v>
      </c>
      <c r="AW280" s="409">
        <v>0</v>
      </c>
      <c r="AX280" s="409"/>
      <c r="AY280" s="409"/>
      <c r="AZ280" s="409">
        <v>0</v>
      </c>
      <c r="BA280" s="409"/>
      <c r="BB280" s="409">
        <v>0</v>
      </c>
      <c r="BC280" s="409">
        <v>0</v>
      </c>
      <c r="BD280" s="409">
        <v>0</v>
      </c>
      <c r="BE280" s="409">
        <v>0</v>
      </c>
      <c r="BF280" s="409"/>
      <c r="BG280" s="409">
        <v>0</v>
      </c>
      <c r="BH280" s="409">
        <v>0</v>
      </c>
      <c r="BI280" s="409">
        <v>0</v>
      </c>
      <c r="BJ280" s="409">
        <v>0</v>
      </c>
      <c r="BK280" s="409">
        <v>0</v>
      </c>
      <c r="BL280" s="409">
        <v>1</v>
      </c>
      <c r="BM280" s="409"/>
      <c r="BN280" s="409"/>
      <c r="BO280" s="409"/>
      <c r="BP280" s="409"/>
      <c r="BQ280" s="409"/>
      <c r="BR280" s="409"/>
      <c r="BS280" s="409"/>
      <c r="BT280" s="409"/>
      <c r="BU280" s="409"/>
      <c r="BV280" s="409">
        <v>0</v>
      </c>
      <c r="BW280" s="409"/>
      <c r="BX280" s="409"/>
      <c r="BY280" s="409"/>
      <c r="BZ280" s="409"/>
      <c r="CA280" s="409"/>
      <c r="CB280" s="409"/>
      <c r="CC280" s="409"/>
      <c r="CD280" s="409"/>
      <c r="CE280" s="409"/>
      <c r="CF280" s="409"/>
      <c r="CG280" s="409"/>
      <c r="CH280" s="409"/>
      <c r="CI280" s="409">
        <v>5424</v>
      </c>
      <c r="CJ280" s="409">
        <v>-608.4300000000012</v>
      </c>
      <c r="CK280" s="409"/>
      <c r="CL280" s="409"/>
      <c r="CM280" s="409"/>
      <c r="CN280" s="409"/>
      <c r="CO280" s="409">
        <v>-608.40000000000009</v>
      </c>
      <c r="CP280" s="409">
        <v>0</v>
      </c>
      <c r="CQ280" s="409">
        <v>29</v>
      </c>
      <c r="CR280" s="409">
        <v>116.30817949722041</v>
      </c>
      <c r="CS280" s="409">
        <v>0</v>
      </c>
      <c r="CT280" s="409">
        <v>0</v>
      </c>
      <c r="CU280" s="409">
        <v>0</v>
      </c>
      <c r="CV280" s="409">
        <v>0</v>
      </c>
      <c r="CW280" s="409"/>
      <c r="CX280" s="409"/>
      <c r="CY280" s="409"/>
      <c r="CZ280" s="409">
        <v>107.79272492689233</v>
      </c>
      <c r="DA280" s="409">
        <v>0</v>
      </c>
      <c r="DB280" s="409">
        <v>0</v>
      </c>
      <c r="DC280" s="409"/>
      <c r="DD280" s="409"/>
      <c r="DE280" s="409">
        <v>0</v>
      </c>
      <c r="DF280" s="409">
        <v>0</v>
      </c>
      <c r="DG280" s="409">
        <v>0</v>
      </c>
      <c r="DH280" s="409">
        <v>0</v>
      </c>
      <c r="DI280" s="409">
        <v>0</v>
      </c>
      <c r="DJ280" s="409"/>
      <c r="DK280" s="409">
        <v>0</v>
      </c>
      <c r="DL280" s="409">
        <v>0</v>
      </c>
      <c r="DM280" s="409"/>
      <c r="DN280" s="409">
        <v>0</v>
      </c>
      <c r="DO280" s="409">
        <v>0</v>
      </c>
      <c r="DP280" s="409">
        <v>0</v>
      </c>
      <c r="DQ280" s="409">
        <v>0</v>
      </c>
      <c r="DR280" s="409">
        <v>8.5154545703282878</v>
      </c>
      <c r="DS280" s="409"/>
      <c r="DT280" s="409"/>
      <c r="DU280" s="409">
        <v>3156.6615245067596</v>
      </c>
      <c r="DV280" s="409"/>
      <c r="DW280" s="409">
        <v>0</v>
      </c>
      <c r="DX280" s="409">
        <v>0</v>
      </c>
      <c r="DY280" s="409">
        <v>-608.40000000000055</v>
      </c>
      <c r="DZ280" s="409"/>
      <c r="EA280" s="409">
        <v>0</v>
      </c>
      <c r="EB280" s="409"/>
      <c r="EC280" s="409">
        <v>-723.58104854615976</v>
      </c>
      <c r="ED280" s="409"/>
      <c r="EE280" s="409">
        <v>0</v>
      </c>
      <c r="EF280" s="409">
        <v>0</v>
      </c>
      <c r="EG280" s="409"/>
      <c r="EH280" s="409">
        <v>0</v>
      </c>
      <c r="EI280" s="409">
        <v>0</v>
      </c>
      <c r="EJ280" s="409">
        <v>0</v>
      </c>
      <c r="EK280" s="409">
        <v>0</v>
      </c>
      <c r="EL280" s="409">
        <v>0</v>
      </c>
      <c r="EM280" s="409"/>
      <c r="EN280" s="409"/>
      <c r="EO280" s="409">
        <v>0</v>
      </c>
      <c r="EP280" s="409">
        <v>0</v>
      </c>
      <c r="EQ280" s="409"/>
      <c r="ER280" s="409">
        <v>0</v>
      </c>
      <c r="ES280" s="409"/>
      <c r="ET280" s="409">
        <v>0</v>
      </c>
      <c r="EU280" s="409"/>
      <c r="EV280" s="409">
        <v>254</v>
      </c>
      <c r="EW280" s="409"/>
      <c r="EX280" s="409"/>
      <c r="EY280" s="409"/>
      <c r="EZ280" s="409"/>
      <c r="FA280" s="409">
        <v>0</v>
      </c>
      <c r="FB280" s="409"/>
      <c r="FC280" s="409"/>
      <c r="FD280" s="409"/>
      <c r="FE280" s="409"/>
      <c r="FF280" s="409">
        <v>0</v>
      </c>
      <c r="FG280" s="409">
        <v>0</v>
      </c>
      <c r="FH280" s="409">
        <v>0</v>
      </c>
      <c r="FI280" s="409">
        <v>0</v>
      </c>
    </row>
    <row r="281" spans="1:165">
      <c r="A281" s="409">
        <v>279</v>
      </c>
      <c r="B281" s="409" t="s">
        <v>1035</v>
      </c>
      <c r="C281" s="409" t="s">
        <v>2244</v>
      </c>
      <c r="D281" s="409" t="s">
        <v>1994</v>
      </c>
      <c r="E281" s="409" t="s">
        <v>997</v>
      </c>
      <c r="F281" s="409" t="s">
        <v>1323</v>
      </c>
      <c r="G281" s="409" t="s">
        <v>1323</v>
      </c>
      <c r="H281" s="409" t="s">
        <v>1323</v>
      </c>
      <c r="I281" s="409" t="s">
        <v>1323</v>
      </c>
      <c r="J281" s="409" t="s">
        <v>2245</v>
      </c>
      <c r="K281" s="835">
        <v>44593</v>
      </c>
      <c r="L281" s="409">
        <v>0</v>
      </c>
      <c r="M281" s="409">
        <v>0</v>
      </c>
      <c r="N281" s="409">
        <v>61.658000000000001</v>
      </c>
      <c r="O281" s="409">
        <v>61.658000000000001</v>
      </c>
      <c r="P281" s="409">
        <v>61.658000000000001</v>
      </c>
      <c r="Q281" s="409">
        <v>61.658000000000001</v>
      </c>
      <c r="R281" s="409"/>
      <c r="S281" s="409">
        <v>597.01</v>
      </c>
      <c r="T281" s="409">
        <v>243.39</v>
      </c>
      <c r="U281" s="409"/>
      <c r="V281" s="409">
        <v>51817.383200000004</v>
      </c>
      <c r="W281" s="409">
        <v>51817.383200000004</v>
      </c>
      <c r="X281" s="409">
        <v>46939.002240000002</v>
      </c>
      <c r="Y281" s="409">
        <v>0</v>
      </c>
      <c r="Z281" s="409">
        <v>1534.2654535491538</v>
      </c>
      <c r="AA281" s="409">
        <v>0</v>
      </c>
      <c r="AB281" s="409">
        <v>0</v>
      </c>
      <c r="AC281" s="409">
        <v>0</v>
      </c>
      <c r="AD281" s="409">
        <v>7225.6434073686787</v>
      </c>
      <c r="AE281" s="409">
        <v>25282.155359827928</v>
      </c>
      <c r="AF281" s="409">
        <v>15006.770739955966</v>
      </c>
      <c r="AG281" s="409">
        <v>0</v>
      </c>
      <c r="AH281" s="409">
        <v>0</v>
      </c>
      <c r="AI281" s="409">
        <v>0</v>
      </c>
      <c r="AJ281" s="409">
        <v>0</v>
      </c>
      <c r="AK281" s="409">
        <v>0</v>
      </c>
      <c r="AL281" s="409">
        <v>626.38922211331476</v>
      </c>
      <c r="AM281" s="409"/>
      <c r="AN281" s="409">
        <v>105.85885802405264</v>
      </c>
      <c r="AO281" s="409">
        <v>0</v>
      </c>
      <c r="AP281" s="409">
        <v>0</v>
      </c>
      <c r="AQ281" s="409">
        <v>0</v>
      </c>
      <c r="AR281" s="409">
        <v>0</v>
      </c>
      <c r="AS281" s="409">
        <v>0</v>
      </c>
      <c r="AT281" s="409">
        <v>0</v>
      </c>
      <c r="AU281" s="409">
        <v>0</v>
      </c>
      <c r="AV281" s="409">
        <v>0</v>
      </c>
      <c r="AW281" s="409">
        <v>0</v>
      </c>
      <c r="AX281" s="409">
        <v>0</v>
      </c>
      <c r="AY281" s="409">
        <v>0</v>
      </c>
      <c r="AZ281" s="409">
        <v>0</v>
      </c>
      <c r="BA281" s="409"/>
      <c r="BB281" s="409">
        <v>0</v>
      </c>
      <c r="BC281" s="409">
        <v>0</v>
      </c>
      <c r="BD281" s="409">
        <v>0</v>
      </c>
      <c r="BE281" s="409">
        <v>0</v>
      </c>
      <c r="BF281" s="409">
        <v>0</v>
      </c>
      <c r="BG281" s="409">
        <v>2035.9058083316033</v>
      </c>
      <c r="BH281" s="409">
        <v>0</v>
      </c>
      <c r="BI281" s="409">
        <v>76.3</v>
      </c>
      <c r="BJ281" s="409">
        <v>352.45</v>
      </c>
      <c r="BK281" s="409">
        <v>4327.49</v>
      </c>
      <c r="BL281" s="409">
        <v>206</v>
      </c>
      <c r="BM281" s="409"/>
      <c r="BN281" s="409"/>
      <c r="BO281" s="409"/>
      <c r="BP281" s="409"/>
      <c r="BQ281" s="409"/>
      <c r="BR281" s="409"/>
      <c r="BS281" s="409"/>
      <c r="BT281" s="409"/>
      <c r="BU281" s="409"/>
      <c r="BV281" s="409">
        <v>17042.676548287571</v>
      </c>
      <c r="BW281" s="409"/>
      <c r="BX281" s="409"/>
      <c r="BY281" s="409"/>
      <c r="BZ281" s="409"/>
      <c r="CA281" s="409"/>
      <c r="CB281" s="409"/>
      <c r="CC281" s="409"/>
      <c r="CD281" s="409"/>
      <c r="CE281" s="409"/>
      <c r="CF281" s="409"/>
      <c r="CG281" s="409"/>
      <c r="CH281" s="409"/>
      <c r="CI281" s="409">
        <v>46940.524799999999</v>
      </c>
      <c r="CJ281" s="409">
        <v>-4876.8884000000107</v>
      </c>
      <c r="CK281" s="409"/>
      <c r="CL281" s="409"/>
      <c r="CM281" s="409"/>
      <c r="CN281" s="409"/>
      <c r="CO281" s="409">
        <v>-5400.0076399999989</v>
      </c>
      <c r="CP281" s="409">
        <v>521.62668000000053</v>
      </c>
      <c r="CQ281" s="409">
        <v>29</v>
      </c>
      <c r="CR281" s="409">
        <v>917.09017920314727</v>
      </c>
      <c r="CS281" s="409">
        <v>0</v>
      </c>
      <c r="CT281" s="409">
        <v>0</v>
      </c>
      <c r="CU281" s="409">
        <v>0</v>
      </c>
      <c r="CV281" s="409">
        <v>0</v>
      </c>
      <c r="CW281" s="409">
        <v>0</v>
      </c>
      <c r="CX281" s="409">
        <v>0</v>
      </c>
      <c r="CY281" s="409">
        <v>0</v>
      </c>
      <c r="CZ281" s="409">
        <v>270.89383851107777</v>
      </c>
      <c r="DA281" s="409">
        <v>0</v>
      </c>
      <c r="DB281" s="409">
        <v>0</v>
      </c>
      <c r="DC281" s="409">
        <v>687.45876825528467</v>
      </c>
      <c r="DD281" s="409">
        <v>0</v>
      </c>
      <c r="DE281" s="409">
        <v>0</v>
      </c>
      <c r="DF281" s="409">
        <v>0</v>
      </c>
      <c r="DG281" s="409">
        <v>93.264655236778481</v>
      </c>
      <c r="DH281" s="409">
        <v>0</v>
      </c>
      <c r="DI281" s="409">
        <v>-11.189214948522931</v>
      </c>
      <c r="DJ281" s="409"/>
      <c r="DK281" s="409">
        <v>0</v>
      </c>
      <c r="DL281" s="409">
        <v>0</v>
      </c>
      <c r="DM281" s="409">
        <v>0</v>
      </c>
      <c r="DN281" s="409">
        <v>0</v>
      </c>
      <c r="DO281" s="409">
        <v>-3.5133872161572981</v>
      </c>
      <c r="DP281" s="409">
        <v>-6.2354409220936304</v>
      </c>
      <c r="DQ281" s="409">
        <v>0</v>
      </c>
      <c r="DR281" s="409">
        <v>-113.58903971321891</v>
      </c>
      <c r="DS281" s="409"/>
      <c r="DT281" s="409"/>
      <c r="DU281" s="409"/>
      <c r="DV281" s="409">
        <v>25282.155359827928</v>
      </c>
      <c r="DW281" s="409">
        <v>0</v>
      </c>
      <c r="DX281" s="409">
        <v>0</v>
      </c>
      <c r="DY281" s="409">
        <v>-5400.0076399999998</v>
      </c>
      <c r="DZ281" s="409">
        <v>521.62668000000122</v>
      </c>
      <c r="EA281" s="409">
        <v>0</v>
      </c>
      <c r="EB281" s="409">
        <v>0</v>
      </c>
      <c r="EC281" s="409">
        <v>-5795.2645042074619</v>
      </c>
      <c r="ED281" s="409">
        <v>0</v>
      </c>
      <c r="EE281" s="409">
        <v>0</v>
      </c>
      <c r="EF281" s="409">
        <v>0</v>
      </c>
      <c r="EG281" s="409">
        <v>0</v>
      </c>
      <c r="EH281" s="409">
        <v>0</v>
      </c>
      <c r="EI281" s="409">
        <v>0</v>
      </c>
      <c r="EJ281" s="409">
        <v>0</v>
      </c>
      <c r="EK281" s="409">
        <v>0</v>
      </c>
      <c r="EL281" s="409">
        <v>0</v>
      </c>
      <c r="EM281" s="409">
        <v>0</v>
      </c>
      <c r="EN281" s="409">
        <v>0</v>
      </c>
      <c r="EO281" s="409">
        <v>0</v>
      </c>
      <c r="EP281" s="409">
        <v>0</v>
      </c>
      <c r="EQ281" s="409">
        <v>0</v>
      </c>
      <c r="ER281" s="409">
        <v>0</v>
      </c>
      <c r="ES281" s="409">
        <v>0</v>
      </c>
      <c r="ET281" s="409">
        <v>0</v>
      </c>
      <c r="EU281" s="409">
        <v>0</v>
      </c>
      <c r="EV281" s="409">
        <v>254</v>
      </c>
      <c r="EW281" s="409">
        <v>0</v>
      </c>
      <c r="EX281" s="409">
        <v>0</v>
      </c>
      <c r="EY281" s="409">
        <v>0</v>
      </c>
      <c r="EZ281" s="409"/>
      <c r="FA281" s="409">
        <v>0</v>
      </c>
      <c r="FB281" s="409"/>
      <c r="FC281" s="409"/>
      <c r="FD281" s="409"/>
      <c r="FE281" s="409"/>
      <c r="FF281" s="409">
        <v>0</v>
      </c>
      <c r="FG281" s="409">
        <v>0</v>
      </c>
      <c r="FH281" s="409">
        <v>0</v>
      </c>
      <c r="FI281" s="409">
        <v>0</v>
      </c>
    </row>
    <row r="282" spans="1:165">
      <c r="A282" s="409">
        <v>280</v>
      </c>
      <c r="B282" s="409" t="s">
        <v>2246</v>
      </c>
      <c r="C282" s="409" t="s">
        <v>2244</v>
      </c>
      <c r="D282" s="409" t="s">
        <v>1994</v>
      </c>
      <c r="E282" s="409" t="s">
        <v>997</v>
      </c>
      <c r="F282" s="409" t="s">
        <v>1323</v>
      </c>
      <c r="G282" s="409" t="s">
        <v>1323</v>
      </c>
      <c r="H282" s="409" t="s">
        <v>1323</v>
      </c>
      <c r="I282" s="409" t="s">
        <v>1323</v>
      </c>
      <c r="J282" s="409" t="s">
        <v>2245</v>
      </c>
      <c r="K282" s="835">
        <v>44593</v>
      </c>
      <c r="L282" s="409">
        <v>0</v>
      </c>
      <c r="M282" s="409">
        <v>0</v>
      </c>
      <c r="N282" s="409">
        <v>6.5590000000000002</v>
      </c>
      <c r="O282" s="409">
        <v>6.5590000000000002</v>
      </c>
      <c r="P282" s="409">
        <v>6.5590000000000002</v>
      </c>
      <c r="Q282" s="409">
        <v>6.5590000000000002</v>
      </c>
      <c r="R282" s="409"/>
      <c r="S282" s="409">
        <v>597.01</v>
      </c>
      <c r="T282" s="409">
        <v>243.39</v>
      </c>
      <c r="U282" s="409"/>
      <c r="V282" s="409">
        <v>5512.1836000000003</v>
      </c>
      <c r="W282" s="409">
        <v>5512.1836000000003</v>
      </c>
      <c r="X282" s="409">
        <v>4993.2355200000002</v>
      </c>
      <c r="Y282" s="409">
        <v>0</v>
      </c>
      <c r="Z282" s="409">
        <v>163.21072869423108</v>
      </c>
      <c r="AA282" s="409">
        <v>0</v>
      </c>
      <c r="AB282" s="409">
        <v>0</v>
      </c>
      <c r="AC282" s="409">
        <v>0</v>
      </c>
      <c r="AD282" s="409">
        <v>768.64308133463885</v>
      </c>
      <c r="AE282" s="409">
        <v>2689.4426839195462</v>
      </c>
      <c r="AF282" s="409">
        <v>1596.3769386514512</v>
      </c>
      <c r="AG282" s="409">
        <v>0</v>
      </c>
      <c r="AH282" s="409">
        <v>0</v>
      </c>
      <c r="AI282" s="409">
        <v>0</v>
      </c>
      <c r="AJ282" s="409">
        <v>0</v>
      </c>
      <c r="AK282" s="409">
        <v>0</v>
      </c>
      <c r="AL282" s="409">
        <v>66.633476723883859</v>
      </c>
      <c r="AM282" s="409"/>
      <c r="AN282" s="409">
        <v>11.260959644811075</v>
      </c>
      <c r="AO282" s="409">
        <v>0</v>
      </c>
      <c r="AP282" s="409">
        <v>0</v>
      </c>
      <c r="AQ282" s="409">
        <v>0</v>
      </c>
      <c r="AR282" s="409">
        <v>0</v>
      </c>
      <c r="AS282" s="409">
        <v>0</v>
      </c>
      <c r="AT282" s="409">
        <v>0</v>
      </c>
      <c r="AU282" s="409">
        <v>0</v>
      </c>
      <c r="AV282" s="409">
        <v>0</v>
      </c>
      <c r="AW282" s="409">
        <v>0</v>
      </c>
      <c r="AX282" s="409">
        <v>0</v>
      </c>
      <c r="AY282" s="409">
        <v>0</v>
      </c>
      <c r="AZ282" s="409">
        <v>0</v>
      </c>
      <c r="BA282" s="409"/>
      <c r="BB282" s="409">
        <v>0</v>
      </c>
      <c r="BC282" s="409">
        <v>0</v>
      </c>
      <c r="BD282" s="409">
        <v>0</v>
      </c>
      <c r="BE282" s="409">
        <v>0</v>
      </c>
      <c r="BF282" s="409">
        <v>0</v>
      </c>
      <c r="BG282" s="409">
        <v>216.57378112892059</v>
      </c>
      <c r="BH282" s="409">
        <v>0</v>
      </c>
      <c r="BI282" s="409">
        <v>0</v>
      </c>
      <c r="BJ282" s="409">
        <v>0</v>
      </c>
      <c r="BK282" s="409">
        <v>0</v>
      </c>
      <c r="BL282" s="409">
        <v>6</v>
      </c>
      <c r="BM282" s="409"/>
      <c r="BN282" s="409"/>
      <c r="BO282" s="409"/>
      <c r="BP282" s="409"/>
      <c r="BQ282" s="409"/>
      <c r="BR282" s="409"/>
      <c r="BS282" s="409"/>
      <c r="BT282" s="409"/>
      <c r="BU282" s="409"/>
      <c r="BV282" s="409">
        <v>1812.9507197803719</v>
      </c>
      <c r="BW282" s="409"/>
      <c r="BX282" s="409"/>
      <c r="BY282" s="409"/>
      <c r="BZ282" s="409"/>
      <c r="CA282" s="409"/>
      <c r="CB282" s="409"/>
      <c r="CC282" s="409"/>
      <c r="CD282" s="409"/>
      <c r="CE282" s="409"/>
      <c r="CF282" s="409"/>
      <c r="CG282" s="409"/>
      <c r="CH282" s="409"/>
      <c r="CI282" s="409">
        <v>4993.9967999999999</v>
      </c>
      <c r="CJ282" s="409">
        <v>-518.21680000000106</v>
      </c>
      <c r="CK282" s="409"/>
      <c r="CL282" s="409"/>
      <c r="CM282" s="409"/>
      <c r="CN282" s="409"/>
      <c r="CO282" s="409">
        <v>-574.43721999999991</v>
      </c>
      <c r="CP282" s="409">
        <v>55.489140000000056</v>
      </c>
      <c r="CQ282" s="409">
        <v>29</v>
      </c>
      <c r="CR282" s="409">
        <v>97.557405128182381</v>
      </c>
      <c r="CS282" s="409">
        <v>0</v>
      </c>
      <c r="CT282" s="409">
        <v>0</v>
      </c>
      <c r="CU282" s="409">
        <v>0</v>
      </c>
      <c r="CV282" s="409">
        <v>0</v>
      </c>
      <c r="CW282" s="409">
        <v>0</v>
      </c>
      <c r="CX282" s="409">
        <v>0</v>
      </c>
      <c r="CY282" s="409">
        <v>0</v>
      </c>
      <c r="CZ282" s="409">
        <v>28.816904323756148</v>
      </c>
      <c r="DA282" s="409">
        <v>0</v>
      </c>
      <c r="DB282" s="409">
        <v>0</v>
      </c>
      <c r="DC282" s="409">
        <v>73.129878701651251</v>
      </c>
      <c r="DD282" s="409">
        <v>0</v>
      </c>
      <c r="DE282" s="409">
        <v>0</v>
      </c>
      <c r="DF282" s="409">
        <v>0</v>
      </c>
      <c r="DG282" s="409">
        <v>9.9212247185771503</v>
      </c>
      <c r="DH282" s="409">
        <v>0</v>
      </c>
      <c r="DI282" s="409">
        <v>-1.1902763769074909</v>
      </c>
      <c r="DJ282" s="409"/>
      <c r="DK282" s="409">
        <v>0</v>
      </c>
      <c r="DL282" s="409">
        <v>0</v>
      </c>
      <c r="DM282" s="409">
        <v>0</v>
      </c>
      <c r="DN282" s="409">
        <v>0</v>
      </c>
      <c r="DO282" s="409">
        <v>-0.37374398700534073</v>
      </c>
      <c r="DP282" s="409">
        <v>-0.66330820020130687</v>
      </c>
      <c r="DQ282" s="409">
        <v>0</v>
      </c>
      <c r="DR282" s="409">
        <v>-12.083274051688393</v>
      </c>
      <c r="DS282" s="409"/>
      <c r="DT282" s="409"/>
      <c r="DU282" s="409"/>
      <c r="DV282" s="409">
        <v>2689.4426839195462</v>
      </c>
      <c r="DW282" s="409">
        <v>0</v>
      </c>
      <c r="DX282" s="409">
        <v>0</v>
      </c>
      <c r="DY282" s="409">
        <v>-574.4372199999998</v>
      </c>
      <c r="DZ282" s="409">
        <v>55.489140000000134</v>
      </c>
      <c r="EA282" s="409">
        <v>0</v>
      </c>
      <c r="EB282" s="409">
        <v>0</v>
      </c>
      <c r="EC282" s="409">
        <v>-616.48350389400821</v>
      </c>
      <c r="ED282" s="409">
        <v>0</v>
      </c>
      <c r="EE282" s="409">
        <v>0</v>
      </c>
      <c r="EF282" s="409">
        <v>0</v>
      </c>
      <c r="EG282" s="409">
        <v>0</v>
      </c>
      <c r="EH282" s="409">
        <v>0</v>
      </c>
      <c r="EI282" s="409">
        <v>0</v>
      </c>
      <c r="EJ282" s="409">
        <v>0</v>
      </c>
      <c r="EK282" s="409">
        <v>0</v>
      </c>
      <c r="EL282" s="409">
        <v>0</v>
      </c>
      <c r="EM282" s="409">
        <v>0</v>
      </c>
      <c r="EN282" s="409">
        <v>0</v>
      </c>
      <c r="EO282" s="409">
        <v>0</v>
      </c>
      <c r="EP282" s="409">
        <v>0</v>
      </c>
      <c r="EQ282" s="409">
        <v>0</v>
      </c>
      <c r="ER282" s="409">
        <v>0</v>
      </c>
      <c r="ES282" s="409">
        <v>0</v>
      </c>
      <c r="ET282" s="409">
        <v>0</v>
      </c>
      <c r="EU282" s="409">
        <v>0</v>
      </c>
      <c r="EV282" s="409">
        <v>254</v>
      </c>
      <c r="EW282" s="409">
        <v>0</v>
      </c>
      <c r="EX282" s="409">
        <v>0</v>
      </c>
      <c r="EY282" s="409">
        <v>0</v>
      </c>
      <c r="EZ282" s="409"/>
      <c r="FA282" s="409">
        <v>0</v>
      </c>
      <c r="FB282" s="409"/>
      <c r="FC282" s="409"/>
      <c r="FD282" s="409"/>
      <c r="FE282" s="409"/>
      <c r="FF282" s="409">
        <v>0</v>
      </c>
      <c r="FG282" s="409">
        <v>0</v>
      </c>
      <c r="FH282" s="409">
        <v>0</v>
      </c>
      <c r="FI282" s="409">
        <v>0</v>
      </c>
    </row>
    <row r="283" spans="1:165">
      <c r="A283" s="409">
        <v>281</v>
      </c>
      <c r="B283" s="409" t="s">
        <v>1035</v>
      </c>
      <c r="C283" s="409" t="s">
        <v>2252</v>
      </c>
      <c r="D283" s="409" t="s">
        <v>1994</v>
      </c>
      <c r="E283" s="409" t="s">
        <v>997</v>
      </c>
      <c r="F283" s="409" t="s">
        <v>1323</v>
      </c>
      <c r="G283" s="409" t="s">
        <v>1323</v>
      </c>
      <c r="H283" s="409" t="s">
        <v>1323</v>
      </c>
      <c r="I283" s="409" t="s">
        <v>972</v>
      </c>
      <c r="J283" s="409" t="s">
        <v>2245</v>
      </c>
      <c r="K283" s="835">
        <v>44593</v>
      </c>
      <c r="L283" s="409">
        <v>0</v>
      </c>
      <c r="M283" s="409">
        <v>0</v>
      </c>
      <c r="N283" s="409">
        <v>5.0000000000000001E-3</v>
      </c>
      <c r="O283" s="409">
        <v>5.0000000000000001E-3</v>
      </c>
      <c r="P283" s="409">
        <v>5.0000000000000001E-3</v>
      </c>
      <c r="Q283" s="409">
        <v>5.0000000000000001E-3</v>
      </c>
      <c r="R283" s="409"/>
      <c r="S283" s="409">
        <v>1783.27</v>
      </c>
      <c r="T283" s="409">
        <v>243.39</v>
      </c>
      <c r="U283" s="409"/>
      <c r="V283" s="409">
        <v>10.1333</v>
      </c>
      <c r="W283" s="409">
        <v>10.1333</v>
      </c>
      <c r="X283" s="409">
        <v>8.7381000000000011</v>
      </c>
      <c r="Y283" s="409">
        <v>0</v>
      </c>
      <c r="Z283" s="409">
        <v>0.124417387325988</v>
      </c>
      <c r="AA283" s="409">
        <v>0</v>
      </c>
      <c r="AB283" s="409">
        <v>0</v>
      </c>
      <c r="AC283" s="409">
        <v>0</v>
      </c>
      <c r="AD283" s="409">
        <v>1.9043233280197251</v>
      </c>
      <c r="AE283" s="409">
        <v>6.6631287230559995</v>
      </c>
      <c r="AF283" s="409">
        <v>1.21693622400629</v>
      </c>
      <c r="AG283" s="409">
        <v>0</v>
      </c>
      <c r="AH283" s="409">
        <v>0</v>
      </c>
      <c r="AI283" s="409">
        <v>0</v>
      </c>
      <c r="AJ283" s="409">
        <v>0</v>
      </c>
      <c r="AK283" s="409">
        <v>0</v>
      </c>
      <c r="AL283" s="409">
        <v>5.0795454127064994E-2</v>
      </c>
      <c r="AM283" s="409"/>
      <c r="AN283" s="409">
        <v>8.5843571007860001E-3</v>
      </c>
      <c r="AO283" s="409">
        <v>0</v>
      </c>
      <c r="AP283" s="409">
        <v>0</v>
      </c>
      <c r="AQ283" s="409">
        <v>0</v>
      </c>
      <c r="AR283" s="409">
        <v>0</v>
      </c>
      <c r="AS283" s="409">
        <v>0</v>
      </c>
      <c r="AT283" s="409">
        <v>0</v>
      </c>
      <c r="AU283" s="409">
        <v>0</v>
      </c>
      <c r="AV283" s="409">
        <v>0</v>
      </c>
      <c r="AW283" s="409">
        <v>0</v>
      </c>
      <c r="AX283" s="409">
        <v>0</v>
      </c>
      <c r="AY283" s="409">
        <v>0</v>
      </c>
      <c r="AZ283" s="409">
        <v>0</v>
      </c>
      <c r="BA283" s="409"/>
      <c r="BB283" s="409">
        <v>0</v>
      </c>
      <c r="BC283" s="409">
        <v>0</v>
      </c>
      <c r="BD283" s="409">
        <v>0</v>
      </c>
      <c r="BE283" s="409">
        <v>0</v>
      </c>
      <c r="BF283" s="409">
        <v>0</v>
      </c>
      <c r="BG283" s="409">
        <v>0.165096646690746</v>
      </c>
      <c r="BH283" s="409">
        <v>0</v>
      </c>
      <c r="BI283" s="409">
        <v>0</v>
      </c>
      <c r="BJ283" s="409">
        <v>0</v>
      </c>
      <c r="BK283" s="409">
        <v>0</v>
      </c>
      <c r="BL283" s="409">
        <v>0</v>
      </c>
      <c r="BM283" s="409"/>
      <c r="BN283" s="409"/>
      <c r="BO283" s="409"/>
      <c r="BP283" s="409"/>
      <c r="BQ283" s="409"/>
      <c r="BR283" s="409"/>
      <c r="BS283" s="409"/>
      <c r="BT283" s="409"/>
      <c r="BU283" s="409"/>
      <c r="BV283" s="409">
        <v>1.382032870697036</v>
      </c>
      <c r="BW283" s="409"/>
      <c r="BX283" s="409"/>
      <c r="BY283" s="409"/>
      <c r="BZ283" s="409"/>
      <c r="CA283" s="409"/>
      <c r="CB283" s="409"/>
      <c r="CC283" s="409"/>
      <c r="CD283" s="409"/>
      <c r="CE283" s="409"/>
      <c r="CF283" s="409"/>
      <c r="CG283" s="409"/>
      <c r="CH283" s="409"/>
      <c r="CI283" s="409">
        <v>17.476200000000002</v>
      </c>
      <c r="CJ283" s="409">
        <v>7.3129000000000026</v>
      </c>
      <c r="CK283" s="409"/>
      <c r="CL283" s="409"/>
      <c r="CM283" s="409"/>
      <c r="CN283" s="409"/>
      <c r="CO283" s="409">
        <v>-1.4375</v>
      </c>
      <c r="CP283" s="409">
        <v>4.2300000000000039E-2</v>
      </c>
      <c r="CQ283" s="409">
        <v>29</v>
      </c>
      <c r="CR283" s="409">
        <v>0.13216943965171168</v>
      </c>
      <c r="CS283" s="409">
        <v>0</v>
      </c>
      <c r="CT283" s="409">
        <v>0</v>
      </c>
      <c r="CU283" s="409">
        <v>0</v>
      </c>
      <c r="CV283" s="409">
        <v>0</v>
      </c>
      <c r="CW283" s="409">
        <v>0</v>
      </c>
      <c r="CX283" s="409">
        <v>0</v>
      </c>
      <c r="CY283" s="409">
        <v>0</v>
      </c>
      <c r="CZ283" s="409">
        <v>7.139425889288975E-2</v>
      </c>
      <c r="DA283" s="409">
        <v>0</v>
      </c>
      <c r="DB283" s="409">
        <v>0</v>
      </c>
      <c r="DC283" s="409">
        <v>5.5747734945609917E-2</v>
      </c>
      <c r="DD283" s="409">
        <v>0</v>
      </c>
      <c r="DE283" s="409">
        <v>0</v>
      </c>
      <c r="DF283" s="409">
        <v>0</v>
      </c>
      <c r="DG283" s="409">
        <v>7.563061990072506E-3</v>
      </c>
      <c r="DH283" s="409">
        <v>0</v>
      </c>
      <c r="DI283" s="409">
        <v>-9.0736116550349522E-4</v>
      </c>
      <c r="DJ283" s="409"/>
      <c r="DK283" s="409">
        <v>0</v>
      </c>
      <c r="DL283" s="409">
        <v>0</v>
      </c>
      <c r="DM283" s="409">
        <v>0</v>
      </c>
      <c r="DN283" s="409">
        <v>0</v>
      </c>
      <c r="DO283" s="409">
        <v>-2.8490927504599278E-4</v>
      </c>
      <c r="DP283" s="409">
        <v>-5.0564735493315027E-4</v>
      </c>
      <c r="DQ283" s="409">
        <v>0</v>
      </c>
      <c r="DR283" s="409">
        <v>-8.3769838137780044E-4</v>
      </c>
      <c r="DS283" s="409"/>
      <c r="DT283" s="409"/>
      <c r="DU283" s="409"/>
      <c r="DV283" s="409">
        <v>6.6631287230559995</v>
      </c>
      <c r="DW283" s="409">
        <v>0</v>
      </c>
      <c r="DX283" s="409">
        <v>0</v>
      </c>
      <c r="DY283" s="409">
        <v>-1.4374999999999991</v>
      </c>
      <c r="DZ283" s="409">
        <v>4.2300000000000004E-2</v>
      </c>
      <c r="EA283" s="409">
        <v>0</v>
      </c>
      <c r="EB283" s="409">
        <v>0</v>
      </c>
      <c r="EC283" s="409">
        <v>-1.5273457830675499</v>
      </c>
      <c r="ED283" s="409">
        <v>0</v>
      </c>
      <c r="EE283" s="409">
        <v>0</v>
      </c>
      <c r="EF283" s="409">
        <v>0</v>
      </c>
      <c r="EG283" s="409">
        <v>0</v>
      </c>
      <c r="EH283" s="409">
        <v>0</v>
      </c>
      <c r="EI283" s="409">
        <v>0</v>
      </c>
      <c r="EJ283" s="409">
        <v>0</v>
      </c>
      <c r="EK283" s="409">
        <v>0</v>
      </c>
      <c r="EL283" s="409">
        <v>0</v>
      </c>
      <c r="EM283" s="409">
        <v>0</v>
      </c>
      <c r="EN283" s="409">
        <v>0</v>
      </c>
      <c r="EO283" s="409">
        <v>0</v>
      </c>
      <c r="EP283" s="409">
        <v>0</v>
      </c>
      <c r="EQ283" s="409">
        <v>0</v>
      </c>
      <c r="ER283" s="409">
        <v>0</v>
      </c>
      <c r="ES283" s="409">
        <v>0</v>
      </c>
      <c r="ET283" s="409">
        <v>0</v>
      </c>
      <c r="EU283" s="409">
        <v>0</v>
      </c>
      <c r="EV283" s="409">
        <v>254</v>
      </c>
      <c r="EW283" s="409">
        <v>0</v>
      </c>
      <c r="EX283" s="409">
        <v>0</v>
      </c>
      <c r="EY283" s="409">
        <v>0</v>
      </c>
      <c r="EZ283" s="409"/>
      <c r="FA283" s="409">
        <v>0</v>
      </c>
      <c r="FB283" s="409"/>
      <c r="FC283" s="409"/>
      <c r="FD283" s="409"/>
      <c r="FE283" s="409"/>
      <c r="FF283" s="409">
        <v>0</v>
      </c>
      <c r="FG283" s="409">
        <v>0</v>
      </c>
      <c r="FH283" s="409">
        <v>0</v>
      </c>
      <c r="FI283" s="409">
        <v>0</v>
      </c>
    </row>
    <row r="284" spans="1:165">
      <c r="A284" s="409">
        <v>282</v>
      </c>
      <c r="B284" s="409" t="s">
        <v>1035</v>
      </c>
      <c r="C284" s="409" t="s">
        <v>2252</v>
      </c>
      <c r="D284" s="409" t="s">
        <v>1994</v>
      </c>
      <c r="E284" s="409" t="s">
        <v>997</v>
      </c>
      <c r="F284" s="409" t="s">
        <v>1323</v>
      </c>
      <c r="G284" s="409" t="s">
        <v>1323</v>
      </c>
      <c r="H284" s="409" t="s">
        <v>1323</v>
      </c>
      <c r="I284" s="409" t="s">
        <v>2237</v>
      </c>
      <c r="J284" s="409" t="s">
        <v>2245</v>
      </c>
      <c r="K284" s="835">
        <v>44593</v>
      </c>
      <c r="L284" s="409">
        <v>0</v>
      </c>
      <c r="M284" s="409">
        <v>0</v>
      </c>
      <c r="N284" s="409">
        <v>0.35899999999999999</v>
      </c>
      <c r="O284" s="409">
        <v>0.35899999999999999</v>
      </c>
      <c r="P284" s="409">
        <v>0.35899999999999999</v>
      </c>
      <c r="Q284" s="409">
        <v>0.35899999999999999</v>
      </c>
      <c r="R284" s="409"/>
      <c r="S284" s="409">
        <v>412.48</v>
      </c>
      <c r="T284" s="409">
        <v>243.39</v>
      </c>
      <c r="U284" s="409"/>
      <c r="V284" s="409">
        <v>235.45733000000001</v>
      </c>
      <c r="W284" s="409">
        <v>235.45733000000001</v>
      </c>
      <c r="X284" s="409">
        <v>218.21814999999998</v>
      </c>
      <c r="Y284" s="409">
        <v>0</v>
      </c>
      <c r="Z284" s="409">
        <v>8.9331684100059388</v>
      </c>
      <c r="AA284" s="409">
        <v>0</v>
      </c>
      <c r="AB284" s="409">
        <v>0</v>
      </c>
      <c r="AC284" s="409">
        <v>0</v>
      </c>
      <c r="AD284" s="409">
        <v>27.346514748377583</v>
      </c>
      <c r="AE284" s="409">
        <v>95.682568855786059</v>
      </c>
      <c r="AF284" s="409">
        <v>87.37602088365162</v>
      </c>
      <c r="AG284" s="409">
        <v>0</v>
      </c>
      <c r="AH284" s="409">
        <v>0</v>
      </c>
      <c r="AI284" s="409">
        <v>0</v>
      </c>
      <c r="AJ284" s="409">
        <v>0</v>
      </c>
      <c r="AK284" s="409">
        <v>0</v>
      </c>
      <c r="AL284" s="409">
        <v>3.6471136063232668</v>
      </c>
      <c r="AM284" s="409"/>
      <c r="AN284" s="409">
        <v>0.61635683983643474</v>
      </c>
      <c r="AO284" s="409">
        <v>0</v>
      </c>
      <c r="AP284" s="409">
        <v>0</v>
      </c>
      <c r="AQ284" s="409">
        <v>0</v>
      </c>
      <c r="AR284" s="409">
        <v>0</v>
      </c>
      <c r="AS284" s="409">
        <v>0</v>
      </c>
      <c r="AT284" s="409">
        <v>0</v>
      </c>
      <c r="AU284" s="409">
        <v>0</v>
      </c>
      <c r="AV284" s="409">
        <v>0</v>
      </c>
      <c r="AW284" s="409">
        <v>0</v>
      </c>
      <c r="AX284" s="409">
        <v>0</v>
      </c>
      <c r="AY284" s="409">
        <v>0</v>
      </c>
      <c r="AZ284" s="409">
        <v>0</v>
      </c>
      <c r="BA284" s="409"/>
      <c r="BB284" s="409">
        <v>0</v>
      </c>
      <c r="BC284" s="409">
        <v>0</v>
      </c>
      <c r="BD284" s="409">
        <v>0</v>
      </c>
      <c r="BE284" s="409">
        <v>0</v>
      </c>
      <c r="BF284" s="409">
        <v>0</v>
      </c>
      <c r="BG284" s="409">
        <v>11.853939232395561</v>
      </c>
      <c r="BH284" s="409">
        <v>0</v>
      </c>
      <c r="BI284" s="409">
        <v>0</v>
      </c>
      <c r="BJ284" s="409">
        <v>0</v>
      </c>
      <c r="BK284" s="409">
        <v>0</v>
      </c>
      <c r="BL284" s="409">
        <v>0</v>
      </c>
      <c r="BM284" s="409"/>
      <c r="BN284" s="409"/>
      <c r="BO284" s="409"/>
      <c r="BP284" s="409"/>
      <c r="BQ284" s="409"/>
      <c r="BR284" s="409"/>
      <c r="BS284" s="409"/>
      <c r="BT284" s="409"/>
      <c r="BU284" s="409"/>
      <c r="BV284" s="409">
        <v>99.229960116047181</v>
      </c>
      <c r="BW284" s="409"/>
      <c r="BX284" s="409"/>
      <c r="BY284" s="409"/>
      <c r="BZ284" s="409"/>
      <c r="CA284" s="409"/>
      <c r="CB284" s="409"/>
      <c r="CC284" s="409"/>
      <c r="CD284" s="409"/>
      <c r="CE284" s="409"/>
      <c r="CF284" s="409"/>
      <c r="CG284" s="409"/>
      <c r="CH284" s="409"/>
      <c r="CI284" s="409">
        <v>218.82599999999999</v>
      </c>
      <c r="CJ284" s="409">
        <v>-16.661329999999992</v>
      </c>
      <c r="CK284" s="409"/>
      <c r="CL284" s="409"/>
      <c r="CM284" s="409"/>
      <c r="CN284" s="409"/>
      <c r="CO284" s="409">
        <v>-20.276320000000005</v>
      </c>
      <c r="CP284" s="409">
        <v>3.0371400000000026</v>
      </c>
      <c r="CQ284" s="409">
        <v>29</v>
      </c>
      <c r="CR284" s="409">
        <v>4.6941550132235932</v>
      </c>
      <c r="CS284" s="409">
        <v>0</v>
      </c>
      <c r="CT284" s="409">
        <v>0</v>
      </c>
      <c r="CU284" s="409">
        <v>0</v>
      </c>
      <c r="CV284" s="409">
        <v>0</v>
      </c>
      <c r="CW284" s="409">
        <v>0</v>
      </c>
      <c r="CX284" s="409">
        <v>0</v>
      </c>
      <c r="CY284" s="409">
        <v>0</v>
      </c>
      <c r="CZ284" s="409">
        <v>1.0252377445768275</v>
      </c>
      <c r="DA284" s="409">
        <v>0</v>
      </c>
      <c r="DB284" s="409">
        <v>0</v>
      </c>
      <c r="DC284" s="409">
        <v>4.0026873690948008</v>
      </c>
      <c r="DD284" s="409">
        <v>0</v>
      </c>
      <c r="DE284" s="409">
        <v>0</v>
      </c>
      <c r="DF284" s="409">
        <v>0</v>
      </c>
      <c r="DG284" s="409">
        <v>0.54302785088720817</v>
      </c>
      <c r="DH284" s="409">
        <v>0</v>
      </c>
      <c r="DI284" s="409">
        <v>-6.5148531683151489E-2</v>
      </c>
      <c r="DJ284" s="409"/>
      <c r="DK284" s="409">
        <v>0</v>
      </c>
      <c r="DL284" s="409">
        <v>0</v>
      </c>
      <c r="DM284" s="409">
        <v>0</v>
      </c>
      <c r="DN284" s="409">
        <v>0</v>
      </c>
      <c r="DO284" s="409">
        <v>-2.0456485948302738E-2</v>
      </c>
      <c r="DP284" s="409">
        <v>-3.6305480084200092E-2</v>
      </c>
      <c r="DQ284" s="409">
        <v>0</v>
      </c>
      <c r="DR284" s="409">
        <v>-0.75488745361959664</v>
      </c>
      <c r="DS284" s="409"/>
      <c r="DT284" s="409"/>
      <c r="DU284" s="409"/>
      <c r="DV284" s="409">
        <v>95.682568855786059</v>
      </c>
      <c r="DW284" s="409">
        <v>0</v>
      </c>
      <c r="DX284" s="409">
        <v>0</v>
      </c>
      <c r="DY284" s="409">
        <v>-20.276319999999998</v>
      </c>
      <c r="DZ284" s="409">
        <v>3.0371399999999937</v>
      </c>
      <c r="EA284" s="409">
        <v>0</v>
      </c>
      <c r="EB284" s="409">
        <v>0</v>
      </c>
      <c r="EC284" s="409">
        <v>-21.932694703806803</v>
      </c>
      <c r="ED284" s="409">
        <v>0</v>
      </c>
      <c r="EE284" s="409">
        <v>0</v>
      </c>
      <c r="EF284" s="409">
        <v>0</v>
      </c>
      <c r="EG284" s="409">
        <v>0</v>
      </c>
      <c r="EH284" s="409">
        <v>0</v>
      </c>
      <c r="EI284" s="409">
        <v>0</v>
      </c>
      <c r="EJ284" s="409">
        <v>0</v>
      </c>
      <c r="EK284" s="409">
        <v>0</v>
      </c>
      <c r="EL284" s="409">
        <v>0</v>
      </c>
      <c r="EM284" s="409">
        <v>0</v>
      </c>
      <c r="EN284" s="409">
        <v>0</v>
      </c>
      <c r="EO284" s="409">
        <v>0</v>
      </c>
      <c r="EP284" s="409">
        <v>0</v>
      </c>
      <c r="EQ284" s="409">
        <v>0</v>
      </c>
      <c r="ER284" s="409">
        <v>0</v>
      </c>
      <c r="ES284" s="409">
        <v>0</v>
      </c>
      <c r="ET284" s="409">
        <v>0</v>
      </c>
      <c r="EU284" s="409">
        <v>0</v>
      </c>
      <c r="EV284" s="409">
        <v>254</v>
      </c>
      <c r="EW284" s="409">
        <v>0</v>
      </c>
      <c r="EX284" s="409">
        <v>0</v>
      </c>
      <c r="EY284" s="409">
        <v>0</v>
      </c>
      <c r="EZ284" s="409"/>
      <c r="FA284" s="409">
        <v>0</v>
      </c>
      <c r="FB284" s="409"/>
      <c r="FC284" s="409"/>
      <c r="FD284" s="409"/>
      <c r="FE284" s="409"/>
      <c r="FF284" s="409">
        <v>0</v>
      </c>
      <c r="FG284" s="409">
        <v>0</v>
      </c>
      <c r="FH284" s="409">
        <v>0</v>
      </c>
      <c r="FI284" s="409">
        <v>0</v>
      </c>
    </row>
    <row r="285" spans="1:165">
      <c r="A285" s="409">
        <v>283</v>
      </c>
      <c r="B285" s="409" t="s">
        <v>1035</v>
      </c>
      <c r="C285" s="409" t="s">
        <v>2252</v>
      </c>
      <c r="D285" s="409" t="s">
        <v>1994</v>
      </c>
      <c r="E285" s="409" t="s">
        <v>997</v>
      </c>
      <c r="F285" s="409" t="s">
        <v>1323</v>
      </c>
      <c r="G285" s="409" t="s">
        <v>1323</v>
      </c>
      <c r="H285" s="409" t="s">
        <v>1323</v>
      </c>
      <c r="I285" s="409" t="s">
        <v>1323</v>
      </c>
      <c r="J285" s="409" t="s">
        <v>2245</v>
      </c>
      <c r="K285" s="835">
        <v>44593</v>
      </c>
      <c r="L285" s="409">
        <v>0</v>
      </c>
      <c r="M285" s="409">
        <v>0</v>
      </c>
      <c r="N285" s="409">
        <v>0</v>
      </c>
      <c r="O285" s="409">
        <v>0</v>
      </c>
      <c r="P285" s="409">
        <v>0</v>
      </c>
      <c r="Q285" s="409">
        <v>0</v>
      </c>
      <c r="R285" s="409"/>
      <c r="S285" s="409"/>
      <c r="T285" s="409"/>
      <c r="U285" s="409"/>
      <c r="V285" s="409"/>
      <c r="W285" s="409"/>
      <c r="X285" s="409"/>
      <c r="Y285" s="409"/>
      <c r="Z285" s="409"/>
      <c r="AA285" s="409">
        <v>0</v>
      </c>
      <c r="AB285" s="409"/>
      <c r="AC285" s="409"/>
      <c r="AD285" s="409"/>
      <c r="AE285" s="409"/>
      <c r="AF285" s="409"/>
      <c r="AG285" s="409"/>
      <c r="AH285" s="409"/>
      <c r="AI285" s="409"/>
      <c r="AJ285" s="409"/>
      <c r="AK285" s="409"/>
      <c r="AL285" s="409"/>
      <c r="AM285" s="409"/>
      <c r="AN285" s="409"/>
      <c r="AO285" s="409"/>
      <c r="AP285" s="409"/>
      <c r="AQ285" s="409"/>
      <c r="AR285" s="409"/>
      <c r="AS285" s="409"/>
      <c r="AT285" s="409"/>
      <c r="AU285" s="409"/>
      <c r="AV285" s="409"/>
      <c r="AW285" s="409"/>
      <c r="AX285" s="409"/>
      <c r="AY285" s="409"/>
      <c r="AZ285" s="409">
        <v>0</v>
      </c>
      <c r="BA285" s="409"/>
      <c r="BB285" s="409"/>
      <c r="BC285" s="409"/>
      <c r="BD285" s="409"/>
      <c r="BE285" s="409"/>
      <c r="BF285" s="409"/>
      <c r="BG285" s="409"/>
      <c r="BH285" s="409"/>
      <c r="BI285" s="409">
        <v>0</v>
      </c>
      <c r="BJ285" s="409">
        <v>0</v>
      </c>
      <c r="BK285" s="409">
        <v>0</v>
      </c>
      <c r="BL285" s="409">
        <v>1</v>
      </c>
      <c r="BM285" s="409"/>
      <c r="BN285" s="409"/>
      <c r="BO285" s="409"/>
      <c r="BP285" s="409"/>
      <c r="BQ285" s="409"/>
      <c r="BR285" s="409"/>
      <c r="BS285" s="409"/>
      <c r="BT285" s="409"/>
      <c r="BU285" s="409"/>
      <c r="BV285" s="409"/>
      <c r="BW285" s="409"/>
      <c r="BX285" s="409"/>
      <c r="BY285" s="409"/>
      <c r="BZ285" s="409"/>
      <c r="CA285" s="409"/>
      <c r="CB285" s="409"/>
      <c r="CC285" s="409"/>
      <c r="CD285" s="409"/>
      <c r="CE285" s="409"/>
      <c r="CF285" s="409"/>
      <c r="CG285" s="409"/>
      <c r="CH285" s="409"/>
      <c r="CI285" s="409"/>
      <c r="CJ285" s="409">
        <v>-0.03</v>
      </c>
      <c r="CK285" s="409"/>
      <c r="CL285" s="409"/>
      <c r="CM285" s="409"/>
      <c r="CN285" s="409"/>
      <c r="CO285" s="409">
        <v>0</v>
      </c>
      <c r="CP285" s="409">
        <v>0</v>
      </c>
      <c r="CQ285" s="409">
        <v>29</v>
      </c>
      <c r="CR285" s="409"/>
      <c r="CS285" s="409"/>
      <c r="CT285" s="409"/>
      <c r="CU285" s="409"/>
      <c r="CV285" s="409"/>
      <c r="CW285" s="409"/>
      <c r="CX285" s="409"/>
      <c r="CY285" s="409"/>
      <c r="CZ285" s="409"/>
      <c r="DA285" s="409"/>
      <c r="DB285" s="409"/>
      <c r="DC285" s="409"/>
      <c r="DD285" s="409"/>
      <c r="DE285" s="409"/>
      <c r="DF285" s="409"/>
      <c r="DG285" s="409"/>
      <c r="DH285" s="409"/>
      <c r="DI285" s="409"/>
      <c r="DJ285" s="409"/>
      <c r="DK285" s="409">
        <v>0</v>
      </c>
      <c r="DL285" s="409"/>
      <c r="DM285" s="409"/>
      <c r="DN285" s="409"/>
      <c r="DO285" s="409"/>
      <c r="DP285" s="409"/>
      <c r="DQ285" s="409"/>
      <c r="DR285" s="409"/>
      <c r="DS285" s="409"/>
      <c r="DT285" s="409"/>
      <c r="DU285" s="409"/>
      <c r="DV285" s="409"/>
      <c r="DW285" s="409"/>
      <c r="DX285" s="409"/>
      <c r="DY285" s="409"/>
      <c r="DZ285" s="409"/>
      <c r="EA285" s="409"/>
      <c r="EB285" s="409"/>
      <c r="EC285" s="409"/>
      <c r="ED285" s="409"/>
      <c r="EE285" s="409"/>
      <c r="EF285" s="409"/>
      <c r="EG285" s="409"/>
      <c r="EH285" s="409"/>
      <c r="EI285" s="409"/>
      <c r="EJ285" s="409"/>
      <c r="EK285" s="409"/>
      <c r="EL285" s="409"/>
      <c r="EM285" s="409"/>
      <c r="EN285" s="409"/>
      <c r="EO285" s="409"/>
      <c r="EP285" s="409"/>
      <c r="EQ285" s="409"/>
      <c r="ER285" s="409"/>
      <c r="ES285" s="409"/>
      <c r="ET285" s="409"/>
      <c r="EU285" s="409"/>
      <c r="EV285" s="409">
        <v>254</v>
      </c>
      <c r="EW285" s="409"/>
      <c r="EX285" s="409"/>
      <c r="EY285" s="409"/>
      <c r="EZ285" s="409"/>
      <c r="FA285" s="409">
        <v>0</v>
      </c>
      <c r="FB285" s="409"/>
      <c r="FC285" s="409"/>
      <c r="FD285" s="409"/>
      <c r="FE285" s="409"/>
      <c r="FF285" s="409">
        <v>0</v>
      </c>
      <c r="FG285" s="409">
        <v>0</v>
      </c>
      <c r="FH285" s="409">
        <v>0</v>
      </c>
      <c r="FI285" s="409">
        <v>0</v>
      </c>
    </row>
    <row r="286" spans="1:165">
      <c r="A286" s="409">
        <v>284</v>
      </c>
      <c r="B286" s="409" t="s">
        <v>1035</v>
      </c>
      <c r="C286" s="409" t="s">
        <v>2252</v>
      </c>
      <c r="D286" s="409" t="s">
        <v>1994</v>
      </c>
      <c r="E286" s="409" t="s">
        <v>997</v>
      </c>
      <c r="F286" s="409" t="s">
        <v>1323</v>
      </c>
      <c r="G286" s="409" t="s">
        <v>1323</v>
      </c>
      <c r="H286" s="409" t="s">
        <v>1323</v>
      </c>
      <c r="I286" s="409" t="s">
        <v>2253</v>
      </c>
      <c r="J286" s="409" t="s">
        <v>2245</v>
      </c>
      <c r="K286" s="835">
        <v>44593</v>
      </c>
      <c r="L286" s="409">
        <v>0</v>
      </c>
      <c r="M286" s="409">
        <v>0</v>
      </c>
      <c r="N286" s="409">
        <v>1.2E-2</v>
      </c>
      <c r="O286" s="409">
        <v>1.2E-2</v>
      </c>
      <c r="P286" s="409">
        <v>1.2E-2</v>
      </c>
      <c r="Q286" s="409">
        <v>1.2E-2</v>
      </c>
      <c r="R286" s="409"/>
      <c r="S286" s="409">
        <v>1097.8699999999999</v>
      </c>
      <c r="T286" s="409">
        <v>243.39</v>
      </c>
      <c r="U286" s="409"/>
      <c r="V286" s="409">
        <v>16.095119999999998</v>
      </c>
      <c r="W286" s="409">
        <v>16.095119999999998</v>
      </c>
      <c r="X286" s="409">
        <v>14.132759999999999</v>
      </c>
      <c r="Y286" s="409">
        <v>0</v>
      </c>
      <c r="Z286" s="409">
        <v>0.29860172958237119</v>
      </c>
      <c r="AA286" s="409">
        <v>0</v>
      </c>
      <c r="AB286" s="409">
        <v>0</v>
      </c>
      <c r="AC286" s="409">
        <v>0</v>
      </c>
      <c r="AD286" s="409">
        <v>2.7422466853047482</v>
      </c>
      <c r="AE286" s="409">
        <v>9.5949037859977935</v>
      </c>
      <c r="AF286" s="409">
        <v>2.9206469376150959</v>
      </c>
      <c r="AG286" s="409">
        <v>0</v>
      </c>
      <c r="AH286" s="409">
        <v>0</v>
      </c>
      <c r="AI286" s="409">
        <v>0</v>
      </c>
      <c r="AJ286" s="409">
        <v>0</v>
      </c>
      <c r="AK286" s="409">
        <v>0</v>
      </c>
      <c r="AL286" s="409">
        <v>0.121909089904956</v>
      </c>
      <c r="AM286" s="409"/>
      <c r="AN286" s="409">
        <v>2.0602457041886398E-2</v>
      </c>
      <c r="AO286" s="409">
        <v>0</v>
      </c>
      <c r="AP286" s="409">
        <v>0</v>
      </c>
      <c r="AQ286" s="409">
        <v>0</v>
      </c>
      <c r="AR286" s="409">
        <v>0</v>
      </c>
      <c r="AS286" s="409">
        <v>0</v>
      </c>
      <c r="AT286" s="409">
        <v>0</v>
      </c>
      <c r="AU286" s="409">
        <v>0</v>
      </c>
      <c r="AV286" s="409">
        <v>0</v>
      </c>
      <c r="AW286" s="409">
        <v>0</v>
      </c>
      <c r="AX286" s="409">
        <v>0</v>
      </c>
      <c r="AY286" s="409">
        <v>0</v>
      </c>
      <c r="AZ286" s="409">
        <v>0</v>
      </c>
      <c r="BA286" s="409"/>
      <c r="BB286" s="409">
        <v>0</v>
      </c>
      <c r="BC286" s="409">
        <v>0</v>
      </c>
      <c r="BD286" s="409">
        <v>0</v>
      </c>
      <c r="BE286" s="409">
        <v>0</v>
      </c>
      <c r="BF286" s="409">
        <v>0</v>
      </c>
      <c r="BG286" s="409">
        <v>0.39623195205779038</v>
      </c>
      <c r="BH286" s="409">
        <v>0</v>
      </c>
      <c r="BI286" s="409">
        <v>0</v>
      </c>
      <c r="BJ286" s="409">
        <v>0</v>
      </c>
      <c r="BK286" s="409">
        <v>0</v>
      </c>
      <c r="BL286" s="409">
        <v>0</v>
      </c>
      <c r="BM286" s="409"/>
      <c r="BN286" s="409"/>
      <c r="BO286" s="409"/>
      <c r="BP286" s="409"/>
      <c r="BQ286" s="409"/>
      <c r="BR286" s="409"/>
      <c r="BS286" s="409"/>
      <c r="BT286" s="409"/>
      <c r="BU286" s="409"/>
      <c r="BV286" s="409">
        <v>3.3168788896728865</v>
      </c>
      <c r="BW286" s="409"/>
      <c r="BX286" s="409"/>
      <c r="BY286" s="409"/>
      <c r="BZ286" s="409"/>
      <c r="CA286" s="409"/>
      <c r="CB286" s="409"/>
      <c r="CC286" s="409"/>
      <c r="CD286" s="409"/>
      <c r="CE286" s="409"/>
      <c r="CF286" s="409"/>
      <c r="CG286" s="409"/>
      <c r="CH286" s="409"/>
      <c r="CI286" s="409">
        <v>11.7773</v>
      </c>
      <c r="CJ286" s="409">
        <v>-4.3478199999999987</v>
      </c>
      <c r="CK286" s="409"/>
      <c r="CL286" s="409"/>
      <c r="CM286" s="409"/>
      <c r="CN286" s="409"/>
      <c r="CO286" s="409">
        <v>-2.0638799999999988</v>
      </c>
      <c r="CP286" s="409">
        <v>0.1015200000000001</v>
      </c>
      <c r="CQ286" s="409">
        <v>29</v>
      </c>
      <c r="CR286" s="409">
        <v>0.23705770848335472</v>
      </c>
      <c r="CS286" s="409">
        <v>0</v>
      </c>
      <c r="CT286" s="409">
        <v>0</v>
      </c>
      <c r="CU286" s="409">
        <v>0</v>
      </c>
      <c r="CV286" s="409">
        <v>0</v>
      </c>
      <c r="CW286" s="409">
        <v>0</v>
      </c>
      <c r="CX286" s="409">
        <v>0</v>
      </c>
      <c r="CY286" s="409">
        <v>0</v>
      </c>
      <c r="CZ286" s="409">
        <v>0.10280852359373993</v>
      </c>
      <c r="DA286" s="409">
        <v>0</v>
      </c>
      <c r="DB286" s="409">
        <v>0</v>
      </c>
      <c r="DC286" s="409">
        <v>0.13379456386946398</v>
      </c>
      <c r="DD286" s="409">
        <v>0</v>
      </c>
      <c r="DE286" s="409">
        <v>0</v>
      </c>
      <c r="DF286" s="409">
        <v>0</v>
      </c>
      <c r="DG286" s="409">
        <v>1.8151348776174026E-2</v>
      </c>
      <c r="DH286" s="409">
        <v>0</v>
      </c>
      <c r="DI286" s="409">
        <v>-2.1776667972083774E-3</v>
      </c>
      <c r="DJ286" s="409"/>
      <c r="DK286" s="409">
        <v>0</v>
      </c>
      <c r="DL286" s="409">
        <v>0</v>
      </c>
      <c r="DM286" s="409">
        <v>0</v>
      </c>
      <c r="DN286" s="409">
        <v>0</v>
      </c>
      <c r="DO286" s="409">
        <v>-6.8378226011039933E-4</v>
      </c>
      <c r="DP286" s="409">
        <v>-1.2135536518395572E-3</v>
      </c>
      <c r="DQ286" s="409">
        <v>0</v>
      </c>
      <c r="DR286" s="409">
        <v>-1.3621725046864198E-2</v>
      </c>
      <c r="DS286" s="409"/>
      <c r="DT286" s="409"/>
      <c r="DU286" s="409"/>
      <c r="DV286" s="409">
        <v>9.5949037859977935</v>
      </c>
      <c r="DW286" s="409">
        <v>0</v>
      </c>
      <c r="DX286" s="409">
        <v>0</v>
      </c>
      <c r="DY286" s="409">
        <v>-2.0638799999999993</v>
      </c>
      <c r="DZ286" s="409">
        <v>0.10151999999999983</v>
      </c>
      <c r="EA286" s="409">
        <v>0</v>
      </c>
      <c r="EB286" s="409">
        <v>0</v>
      </c>
      <c r="EC286" s="409">
        <v>-2.1993775665437285</v>
      </c>
      <c r="ED286" s="409">
        <v>0</v>
      </c>
      <c r="EE286" s="409">
        <v>0</v>
      </c>
      <c r="EF286" s="409">
        <v>0</v>
      </c>
      <c r="EG286" s="409">
        <v>0</v>
      </c>
      <c r="EH286" s="409">
        <v>0</v>
      </c>
      <c r="EI286" s="409">
        <v>0</v>
      </c>
      <c r="EJ286" s="409">
        <v>0</v>
      </c>
      <c r="EK286" s="409">
        <v>0</v>
      </c>
      <c r="EL286" s="409">
        <v>0</v>
      </c>
      <c r="EM286" s="409">
        <v>0</v>
      </c>
      <c r="EN286" s="409">
        <v>0</v>
      </c>
      <c r="EO286" s="409">
        <v>0</v>
      </c>
      <c r="EP286" s="409">
        <v>0</v>
      </c>
      <c r="EQ286" s="409">
        <v>0</v>
      </c>
      <c r="ER286" s="409">
        <v>0</v>
      </c>
      <c r="ES286" s="409">
        <v>0</v>
      </c>
      <c r="ET286" s="409">
        <v>0</v>
      </c>
      <c r="EU286" s="409">
        <v>0</v>
      </c>
      <c r="EV286" s="409">
        <v>254</v>
      </c>
      <c r="EW286" s="409">
        <v>0</v>
      </c>
      <c r="EX286" s="409">
        <v>0</v>
      </c>
      <c r="EY286" s="409">
        <v>0</v>
      </c>
      <c r="EZ286" s="409"/>
      <c r="FA286" s="409">
        <v>0</v>
      </c>
      <c r="FB286" s="409"/>
      <c r="FC286" s="409"/>
      <c r="FD286" s="409"/>
      <c r="FE286" s="409"/>
      <c r="FF286" s="409">
        <v>0</v>
      </c>
      <c r="FG286" s="409">
        <v>0</v>
      </c>
      <c r="FH286" s="409">
        <v>0</v>
      </c>
      <c r="FI286" s="409">
        <v>0</v>
      </c>
    </row>
    <row r="287" spans="1:165">
      <c r="A287" s="409">
        <v>285</v>
      </c>
      <c r="B287" s="409" t="s">
        <v>1035</v>
      </c>
      <c r="C287" s="409" t="s">
        <v>2244</v>
      </c>
      <c r="D287" s="409" t="s">
        <v>2254</v>
      </c>
      <c r="E287" s="409" t="s">
        <v>973</v>
      </c>
      <c r="F287" s="409" t="s">
        <v>1323</v>
      </c>
      <c r="G287" s="409" t="s">
        <v>1323</v>
      </c>
      <c r="H287" s="409" t="s">
        <v>1323</v>
      </c>
      <c r="I287" s="409" t="s">
        <v>1323</v>
      </c>
      <c r="J287" s="409" t="s">
        <v>2245</v>
      </c>
      <c r="K287" s="835">
        <v>44593</v>
      </c>
      <c r="L287" s="409">
        <v>0</v>
      </c>
      <c r="M287" s="409">
        <v>0</v>
      </c>
      <c r="N287" s="409">
        <v>194.405</v>
      </c>
      <c r="O287" s="409">
        <v>194.405</v>
      </c>
      <c r="P287" s="409">
        <v>194.405</v>
      </c>
      <c r="Q287" s="409">
        <v>194.405</v>
      </c>
      <c r="R287" s="409"/>
      <c r="S287" s="409">
        <v>597.01</v>
      </c>
      <c r="T287" s="409">
        <v>243.39</v>
      </c>
      <c r="U287" s="409"/>
      <c r="V287" s="409">
        <v>163377.962</v>
      </c>
      <c r="W287" s="409">
        <v>163377.962</v>
      </c>
      <c r="X287" s="409">
        <v>147996.6384</v>
      </c>
      <c r="Y287" s="409">
        <v>0</v>
      </c>
      <c r="Z287" s="409">
        <v>4837.4724366217397</v>
      </c>
      <c r="AA287" s="409">
        <v>0</v>
      </c>
      <c r="AB287" s="409">
        <v>0</v>
      </c>
      <c r="AC287" s="409">
        <v>0</v>
      </c>
      <c r="AD287" s="409">
        <v>22782.140299872004</v>
      </c>
      <c r="AE287" s="409">
        <v>79713.539406522235</v>
      </c>
      <c r="AF287" s="409">
        <v>47315.69732558856</v>
      </c>
      <c r="AG287" s="409">
        <v>0</v>
      </c>
      <c r="AH287" s="409">
        <v>0</v>
      </c>
      <c r="AI287" s="409">
        <v>0</v>
      </c>
      <c r="AJ287" s="409">
        <v>0</v>
      </c>
      <c r="AK287" s="409">
        <v>0</v>
      </c>
      <c r="AL287" s="409">
        <v>1974.9780519144142</v>
      </c>
      <c r="AM287" s="409"/>
      <c r="AN287" s="409">
        <v>333.76838843566048</v>
      </c>
      <c r="AO287" s="409">
        <v>0</v>
      </c>
      <c r="AP287" s="409">
        <v>0</v>
      </c>
      <c r="AQ287" s="409">
        <v>0</v>
      </c>
      <c r="AR287" s="409">
        <v>0</v>
      </c>
      <c r="AS287" s="409">
        <v>0</v>
      </c>
      <c r="AT287" s="409">
        <v>0</v>
      </c>
      <c r="AU287" s="409">
        <v>0</v>
      </c>
      <c r="AV287" s="409">
        <v>0</v>
      </c>
      <c r="AW287" s="409">
        <v>0</v>
      </c>
      <c r="AX287" s="409">
        <v>0</v>
      </c>
      <c r="AY287" s="409">
        <v>0</v>
      </c>
      <c r="AZ287" s="409">
        <v>0</v>
      </c>
      <c r="BA287" s="409"/>
      <c r="BB287" s="409">
        <v>0</v>
      </c>
      <c r="BC287" s="409">
        <v>0</v>
      </c>
      <c r="BD287" s="409">
        <v>0</v>
      </c>
      <c r="BE287" s="409">
        <v>0</v>
      </c>
      <c r="BF287" s="409">
        <v>0</v>
      </c>
      <c r="BG287" s="409">
        <v>6419.1227199828945</v>
      </c>
      <c r="BH287" s="409">
        <v>0</v>
      </c>
      <c r="BI287" s="409">
        <v>97.1</v>
      </c>
      <c r="BJ287" s="409">
        <v>448.56</v>
      </c>
      <c r="BK287" s="409">
        <v>0</v>
      </c>
      <c r="BL287" s="409">
        <v>1596</v>
      </c>
      <c r="BM287" s="409"/>
      <c r="BN287" s="409"/>
      <c r="BO287" s="409"/>
      <c r="BP287" s="409"/>
      <c r="BQ287" s="409"/>
      <c r="BR287" s="409">
        <v>17760.840799999998</v>
      </c>
      <c r="BS287" s="409"/>
      <c r="BT287" s="409"/>
      <c r="BU287" s="409"/>
      <c r="BV287" s="409">
        <v>53734.820045571454</v>
      </c>
      <c r="BW287" s="409"/>
      <c r="BX287" s="409"/>
      <c r="BY287" s="409"/>
      <c r="BZ287" s="409"/>
      <c r="CA287" s="409"/>
      <c r="CB287" s="409"/>
      <c r="CC287" s="409"/>
      <c r="CD287" s="409"/>
      <c r="CE287" s="409"/>
      <c r="CF287" s="409"/>
      <c r="CG287" s="409"/>
      <c r="CH287" s="409"/>
      <c r="CI287" s="409">
        <v>130239.14720000001</v>
      </c>
      <c r="CJ287" s="409">
        <v>-13533.100550000003</v>
      </c>
      <c r="CK287" s="409"/>
      <c r="CL287" s="409"/>
      <c r="CM287" s="409"/>
      <c r="CN287" s="409"/>
      <c r="CO287" s="409">
        <v>-17025.989899999997</v>
      </c>
      <c r="CP287" s="409">
        <v>1644.6663000000015</v>
      </c>
      <c r="CQ287" s="409">
        <v>29</v>
      </c>
      <c r="CR287" s="409">
        <v>2891.5455624247843</v>
      </c>
      <c r="CS287" s="409">
        <v>0</v>
      </c>
      <c r="CT287" s="409">
        <v>0</v>
      </c>
      <c r="CU287" s="409">
        <v>0</v>
      </c>
      <c r="CV287" s="409">
        <v>0</v>
      </c>
      <c r="CW287" s="409">
        <v>0</v>
      </c>
      <c r="CX287" s="409">
        <v>0</v>
      </c>
      <c r="CY287" s="409">
        <v>0</v>
      </c>
      <c r="CZ287" s="409">
        <v>854.11652463177597</v>
      </c>
      <c r="DA287" s="409">
        <v>0</v>
      </c>
      <c r="DB287" s="409">
        <v>0</v>
      </c>
      <c r="DC287" s="409">
        <v>2167.5276824202592</v>
      </c>
      <c r="DD287" s="409">
        <v>0</v>
      </c>
      <c r="DE287" s="409">
        <v>0</v>
      </c>
      <c r="DF287" s="409">
        <v>0</v>
      </c>
      <c r="DG287" s="409">
        <v>294.05941323601019</v>
      </c>
      <c r="DH287" s="409">
        <v>0</v>
      </c>
      <c r="DI287" s="409">
        <v>-35.279109475941368</v>
      </c>
      <c r="DJ287" s="409"/>
      <c r="DK287" s="409">
        <v>0</v>
      </c>
      <c r="DL287" s="409">
        <v>0</v>
      </c>
      <c r="DM287" s="409">
        <v>0</v>
      </c>
      <c r="DN287" s="409">
        <v>0</v>
      </c>
      <c r="DO287" s="409">
        <v>-11.07755752306366</v>
      </c>
      <c r="DP287" s="409">
        <v>-19.660074807155809</v>
      </c>
      <c r="DQ287" s="409">
        <v>0</v>
      </c>
      <c r="DR287" s="409">
        <v>-358.14131605709434</v>
      </c>
      <c r="DS287" s="409"/>
      <c r="DT287" s="409"/>
      <c r="DU287" s="409"/>
      <c r="DV287" s="409">
        <v>79713.539406522235</v>
      </c>
      <c r="DW287" s="409">
        <v>0</v>
      </c>
      <c r="DX287" s="409">
        <v>0</v>
      </c>
      <c r="DY287" s="409">
        <v>-17025.989899999986</v>
      </c>
      <c r="DZ287" s="409">
        <v>1644.6663000000044</v>
      </c>
      <c r="EA287" s="409">
        <v>0</v>
      </c>
      <c r="EB287" s="409">
        <v>0</v>
      </c>
      <c r="EC287" s="409">
        <v>-18272.217651244799</v>
      </c>
      <c r="ED287" s="409">
        <v>0</v>
      </c>
      <c r="EE287" s="409">
        <v>0</v>
      </c>
      <c r="EF287" s="409">
        <v>0</v>
      </c>
      <c r="EG287" s="409">
        <v>0</v>
      </c>
      <c r="EH287" s="409">
        <v>0</v>
      </c>
      <c r="EI287" s="409">
        <v>0</v>
      </c>
      <c r="EJ287" s="409">
        <v>0</v>
      </c>
      <c r="EK287" s="409">
        <v>0</v>
      </c>
      <c r="EL287" s="409">
        <v>0</v>
      </c>
      <c r="EM287" s="409">
        <v>0</v>
      </c>
      <c r="EN287" s="409">
        <v>0</v>
      </c>
      <c r="EO287" s="409">
        <v>0</v>
      </c>
      <c r="EP287" s="409">
        <v>0</v>
      </c>
      <c r="EQ287" s="409">
        <v>0</v>
      </c>
      <c r="ER287" s="409">
        <v>0</v>
      </c>
      <c r="ES287" s="409">
        <v>0</v>
      </c>
      <c r="ET287" s="409">
        <v>0</v>
      </c>
      <c r="EU287" s="409">
        <v>0</v>
      </c>
      <c r="EV287" s="409">
        <v>254</v>
      </c>
      <c r="EW287" s="409">
        <v>0</v>
      </c>
      <c r="EX287" s="409">
        <v>0</v>
      </c>
      <c r="EY287" s="409">
        <v>0</v>
      </c>
      <c r="EZ287" s="409"/>
      <c r="FA287" s="409">
        <v>0</v>
      </c>
      <c r="FB287" s="409"/>
      <c r="FC287" s="409"/>
      <c r="FD287" s="409"/>
      <c r="FE287" s="409"/>
      <c r="FF287" s="409">
        <v>0</v>
      </c>
      <c r="FG287" s="409">
        <v>0</v>
      </c>
      <c r="FH287" s="409">
        <v>0</v>
      </c>
      <c r="FI287" s="409">
        <v>0</v>
      </c>
    </row>
    <row r="288" spans="1:165">
      <c r="A288" s="409">
        <v>286</v>
      </c>
      <c r="B288" s="409" t="s">
        <v>2246</v>
      </c>
      <c r="C288" s="409" t="s">
        <v>2244</v>
      </c>
      <c r="D288" s="409" t="s">
        <v>2254</v>
      </c>
      <c r="E288" s="409" t="s">
        <v>973</v>
      </c>
      <c r="F288" s="409" t="s">
        <v>1323</v>
      </c>
      <c r="G288" s="409" t="s">
        <v>1323</v>
      </c>
      <c r="H288" s="409" t="s">
        <v>1323</v>
      </c>
      <c r="I288" s="409" t="s">
        <v>1323</v>
      </c>
      <c r="J288" s="409" t="s">
        <v>2245</v>
      </c>
      <c r="K288" s="835">
        <v>44593</v>
      </c>
      <c r="L288" s="409">
        <v>0</v>
      </c>
      <c r="M288" s="409">
        <v>0</v>
      </c>
      <c r="N288" s="409">
        <v>10.568</v>
      </c>
      <c r="O288" s="409">
        <v>10.568</v>
      </c>
      <c r="P288" s="409">
        <v>10.568</v>
      </c>
      <c r="Q288" s="409">
        <v>10.568</v>
      </c>
      <c r="R288" s="409"/>
      <c r="S288" s="409">
        <v>597.01</v>
      </c>
      <c r="T288" s="409">
        <v>243.39</v>
      </c>
      <c r="U288" s="409"/>
      <c r="V288" s="409">
        <v>8881.3472000000002</v>
      </c>
      <c r="W288" s="409">
        <v>8881.3472000000002</v>
      </c>
      <c r="X288" s="409">
        <v>8045.2070400000002</v>
      </c>
      <c r="Y288" s="409">
        <v>0</v>
      </c>
      <c r="Z288" s="409">
        <v>262.96858985220825</v>
      </c>
      <c r="AA288" s="409">
        <v>0</v>
      </c>
      <c r="AB288" s="409">
        <v>0</v>
      </c>
      <c r="AC288" s="409">
        <v>0</v>
      </c>
      <c r="AD288" s="409">
        <v>1238.4540453643031</v>
      </c>
      <c r="AE288" s="409">
        <v>4333.2871296938192</v>
      </c>
      <c r="AF288" s="409">
        <v>2572.1164030596942</v>
      </c>
      <c r="AG288" s="409">
        <v>0</v>
      </c>
      <c r="AH288" s="409">
        <v>0</v>
      </c>
      <c r="AI288" s="409">
        <v>0</v>
      </c>
      <c r="AJ288" s="409">
        <v>0</v>
      </c>
      <c r="AK288" s="409">
        <v>0</v>
      </c>
      <c r="AL288" s="409">
        <v>107.36127184296457</v>
      </c>
      <c r="AM288" s="409"/>
      <c r="AN288" s="409">
        <v>18.14389716822129</v>
      </c>
      <c r="AO288" s="409">
        <v>0</v>
      </c>
      <c r="AP288" s="409">
        <v>0</v>
      </c>
      <c r="AQ288" s="409">
        <v>0</v>
      </c>
      <c r="AR288" s="409">
        <v>0</v>
      </c>
      <c r="AS288" s="409">
        <v>0</v>
      </c>
      <c r="AT288" s="409">
        <v>0</v>
      </c>
      <c r="AU288" s="409">
        <v>0</v>
      </c>
      <c r="AV288" s="409">
        <v>0</v>
      </c>
      <c r="AW288" s="409">
        <v>0</v>
      </c>
      <c r="AX288" s="409">
        <v>0</v>
      </c>
      <c r="AY288" s="409">
        <v>0</v>
      </c>
      <c r="AZ288" s="409">
        <v>0</v>
      </c>
      <c r="BA288" s="409"/>
      <c r="BB288" s="409">
        <v>0</v>
      </c>
      <c r="BC288" s="409">
        <v>0</v>
      </c>
      <c r="BD288" s="409">
        <v>0</v>
      </c>
      <c r="BE288" s="409">
        <v>0</v>
      </c>
      <c r="BF288" s="409">
        <v>0</v>
      </c>
      <c r="BG288" s="409">
        <v>348.94827244556069</v>
      </c>
      <c r="BH288" s="409">
        <v>0</v>
      </c>
      <c r="BI288" s="409">
        <v>0</v>
      </c>
      <c r="BJ288" s="409">
        <v>0</v>
      </c>
      <c r="BK288" s="409">
        <v>0</v>
      </c>
      <c r="BL288" s="409">
        <v>8</v>
      </c>
      <c r="BM288" s="409"/>
      <c r="BN288" s="409"/>
      <c r="BO288" s="409"/>
      <c r="BP288" s="409"/>
      <c r="BQ288" s="409"/>
      <c r="BR288" s="409">
        <v>965.49247999999977</v>
      </c>
      <c r="BS288" s="409"/>
      <c r="BT288" s="409"/>
      <c r="BU288" s="409"/>
      <c r="BV288" s="409">
        <v>2921.0646755052549</v>
      </c>
      <c r="BW288" s="409"/>
      <c r="BX288" s="409"/>
      <c r="BY288" s="409"/>
      <c r="BZ288" s="409"/>
      <c r="CA288" s="409"/>
      <c r="CB288" s="409"/>
      <c r="CC288" s="409"/>
      <c r="CD288" s="409"/>
      <c r="CE288" s="409"/>
      <c r="CF288" s="409"/>
      <c r="CG288" s="409"/>
      <c r="CH288" s="409"/>
      <c r="CI288" s="409">
        <v>7081.0544000000009</v>
      </c>
      <c r="CJ288" s="409">
        <v>-734.54</v>
      </c>
      <c r="CK288" s="409"/>
      <c r="CL288" s="409"/>
      <c r="CM288" s="409"/>
      <c r="CN288" s="409"/>
      <c r="CO288" s="409">
        <v>-925.54543999999976</v>
      </c>
      <c r="CP288" s="409">
        <v>89.405280000000076</v>
      </c>
      <c r="CQ288" s="409">
        <v>29</v>
      </c>
      <c r="CR288" s="409">
        <v>157.18656157869009</v>
      </c>
      <c r="CS288" s="409">
        <v>0</v>
      </c>
      <c r="CT288" s="409">
        <v>0</v>
      </c>
      <c r="CU288" s="409">
        <v>0</v>
      </c>
      <c r="CV288" s="409">
        <v>0</v>
      </c>
      <c r="CW288" s="409">
        <v>0</v>
      </c>
      <c r="CX288" s="409">
        <v>0</v>
      </c>
      <c r="CY288" s="409">
        <v>0</v>
      </c>
      <c r="CZ288" s="409">
        <v>46.430407820316304</v>
      </c>
      <c r="DA288" s="409">
        <v>0</v>
      </c>
      <c r="DB288" s="409">
        <v>0</v>
      </c>
      <c r="DC288" s="409">
        <v>117.82841258104145</v>
      </c>
      <c r="DD288" s="409">
        <v>0</v>
      </c>
      <c r="DE288" s="409">
        <v>0</v>
      </c>
      <c r="DF288" s="409">
        <v>0</v>
      </c>
      <c r="DG288" s="409">
        <v>15.985287822217288</v>
      </c>
      <c r="DH288" s="409">
        <v>0</v>
      </c>
      <c r="DI288" s="409">
        <v>-1.9177985594081974</v>
      </c>
      <c r="DJ288" s="409"/>
      <c r="DK288" s="409">
        <v>0</v>
      </c>
      <c r="DL288" s="409">
        <v>0</v>
      </c>
      <c r="DM288" s="409">
        <v>0</v>
      </c>
      <c r="DN288" s="409">
        <v>0</v>
      </c>
      <c r="DO288" s="409">
        <v>-0.60218424373722712</v>
      </c>
      <c r="DP288" s="409">
        <v>-1.0687362493867063</v>
      </c>
      <c r="DQ288" s="409">
        <v>0</v>
      </c>
      <c r="DR288" s="409">
        <v>-19.468827592352941</v>
      </c>
      <c r="DS288" s="409"/>
      <c r="DT288" s="409"/>
      <c r="DU288" s="409"/>
      <c r="DV288" s="409">
        <v>4333.2871296938192</v>
      </c>
      <c r="DW288" s="409">
        <v>0</v>
      </c>
      <c r="DX288" s="409">
        <v>0</v>
      </c>
      <c r="DY288" s="409">
        <v>-925.54543999999987</v>
      </c>
      <c r="DZ288" s="409">
        <v>89.405280000000403</v>
      </c>
      <c r="EA288" s="409">
        <v>0</v>
      </c>
      <c r="EB288" s="409">
        <v>0</v>
      </c>
      <c r="EC288" s="409">
        <v>-993.29130494768651</v>
      </c>
      <c r="ED288" s="409">
        <v>0</v>
      </c>
      <c r="EE288" s="409">
        <v>0</v>
      </c>
      <c r="EF288" s="409">
        <v>0</v>
      </c>
      <c r="EG288" s="409">
        <v>0</v>
      </c>
      <c r="EH288" s="409">
        <v>0</v>
      </c>
      <c r="EI288" s="409">
        <v>0</v>
      </c>
      <c r="EJ288" s="409">
        <v>0</v>
      </c>
      <c r="EK288" s="409">
        <v>0</v>
      </c>
      <c r="EL288" s="409">
        <v>0</v>
      </c>
      <c r="EM288" s="409">
        <v>0</v>
      </c>
      <c r="EN288" s="409">
        <v>0</v>
      </c>
      <c r="EO288" s="409">
        <v>0</v>
      </c>
      <c r="EP288" s="409">
        <v>0</v>
      </c>
      <c r="EQ288" s="409">
        <v>0</v>
      </c>
      <c r="ER288" s="409">
        <v>0</v>
      </c>
      <c r="ES288" s="409">
        <v>0</v>
      </c>
      <c r="ET288" s="409">
        <v>0</v>
      </c>
      <c r="EU288" s="409">
        <v>0</v>
      </c>
      <c r="EV288" s="409">
        <v>254</v>
      </c>
      <c r="EW288" s="409">
        <v>0</v>
      </c>
      <c r="EX288" s="409">
        <v>0</v>
      </c>
      <c r="EY288" s="409">
        <v>0</v>
      </c>
      <c r="EZ288" s="409"/>
      <c r="FA288" s="409">
        <v>0</v>
      </c>
      <c r="FB288" s="409"/>
      <c r="FC288" s="409"/>
      <c r="FD288" s="409"/>
      <c r="FE288" s="409"/>
      <c r="FF288" s="409">
        <v>0</v>
      </c>
      <c r="FG288" s="409">
        <v>0</v>
      </c>
      <c r="FH288" s="409">
        <v>0</v>
      </c>
      <c r="FI288" s="409">
        <v>0</v>
      </c>
    </row>
    <row r="289" spans="1:165">
      <c r="A289" s="409">
        <v>287</v>
      </c>
      <c r="B289" s="409" t="s">
        <v>1035</v>
      </c>
      <c r="C289" s="409" t="s">
        <v>2252</v>
      </c>
      <c r="D289" s="409" t="s">
        <v>2254</v>
      </c>
      <c r="E289" s="409" t="s">
        <v>973</v>
      </c>
      <c r="F289" s="409" t="s">
        <v>1323</v>
      </c>
      <c r="G289" s="409" t="s">
        <v>1323</v>
      </c>
      <c r="H289" s="409" t="s">
        <v>1323</v>
      </c>
      <c r="I289" s="409" t="s">
        <v>972</v>
      </c>
      <c r="J289" s="409" t="s">
        <v>2245</v>
      </c>
      <c r="K289" s="835">
        <v>44593</v>
      </c>
      <c r="L289" s="409">
        <v>0</v>
      </c>
      <c r="M289" s="409">
        <v>0</v>
      </c>
      <c r="N289" s="409">
        <v>3.6999999999999998E-2</v>
      </c>
      <c r="O289" s="409">
        <v>3.6999999999999998E-2</v>
      </c>
      <c r="P289" s="409">
        <v>3.6999999999999998E-2</v>
      </c>
      <c r="Q289" s="409">
        <v>3.6999999999999998E-2</v>
      </c>
      <c r="R289" s="409"/>
      <c r="S289" s="409">
        <v>1298.56</v>
      </c>
      <c r="T289" s="409">
        <v>214.18</v>
      </c>
      <c r="U289" s="409"/>
      <c r="V289" s="409">
        <v>55.971379999999996</v>
      </c>
      <c r="W289" s="409">
        <v>55.971379999999996</v>
      </c>
      <c r="X289" s="409">
        <v>48.573970000000003</v>
      </c>
      <c r="Y289" s="409">
        <v>0</v>
      </c>
      <c r="Z289" s="409">
        <v>0.81020602626683424</v>
      </c>
      <c r="AA289" s="409">
        <v>0</v>
      </c>
      <c r="AB289" s="409">
        <v>0</v>
      </c>
      <c r="AC289" s="409">
        <v>0</v>
      </c>
      <c r="AD289" s="409">
        <v>10.174563614464173</v>
      </c>
      <c r="AE289" s="409">
        <v>35.600135179076972</v>
      </c>
      <c r="AF289" s="409">
        <v>7.9246886907289582</v>
      </c>
      <c r="AG289" s="409">
        <v>0</v>
      </c>
      <c r="AH289" s="409">
        <v>0</v>
      </c>
      <c r="AI289" s="409">
        <v>0</v>
      </c>
      <c r="AJ289" s="409">
        <v>0</v>
      </c>
      <c r="AK289" s="409">
        <v>0</v>
      </c>
      <c r="AL289" s="409">
        <v>0.33077999727544694</v>
      </c>
      <c r="AM289" s="409"/>
      <c r="AN289" s="409">
        <v>5.5901333440318578E-2</v>
      </c>
      <c r="AO289" s="409">
        <v>0</v>
      </c>
      <c r="AP289" s="409">
        <v>0</v>
      </c>
      <c r="AQ289" s="409">
        <v>0</v>
      </c>
      <c r="AR289" s="409">
        <v>0</v>
      </c>
      <c r="AS289" s="409">
        <v>0</v>
      </c>
      <c r="AT289" s="409">
        <v>0</v>
      </c>
      <c r="AU289" s="409">
        <v>0</v>
      </c>
      <c r="AV289" s="409">
        <v>0</v>
      </c>
      <c r="AW289" s="409">
        <v>0</v>
      </c>
      <c r="AX289" s="409">
        <v>0</v>
      </c>
      <c r="AY289" s="409">
        <v>0</v>
      </c>
      <c r="AZ289" s="409">
        <v>0</v>
      </c>
      <c r="BA289" s="409"/>
      <c r="BB289" s="409">
        <v>0</v>
      </c>
      <c r="BC289" s="409">
        <v>0</v>
      </c>
      <c r="BD289" s="409">
        <v>0</v>
      </c>
      <c r="BE289" s="409">
        <v>0</v>
      </c>
      <c r="BF289" s="409">
        <v>0</v>
      </c>
      <c r="BG289" s="409">
        <v>1.0751093632501381</v>
      </c>
      <c r="BH289" s="409">
        <v>0</v>
      </c>
      <c r="BI289" s="409">
        <v>0</v>
      </c>
      <c r="BJ289" s="409">
        <v>0</v>
      </c>
      <c r="BK289" s="409">
        <v>0</v>
      </c>
      <c r="BL289" s="409">
        <v>0</v>
      </c>
      <c r="BM289" s="409"/>
      <c r="BN289" s="409"/>
      <c r="BO289" s="409"/>
      <c r="BP289" s="409"/>
      <c r="BQ289" s="409"/>
      <c r="BR289" s="409"/>
      <c r="BS289" s="409"/>
      <c r="BT289" s="409"/>
      <c r="BU289" s="409"/>
      <c r="BV289" s="409">
        <v>8.9997980539790969</v>
      </c>
      <c r="BW289" s="409"/>
      <c r="BX289" s="409"/>
      <c r="BY289" s="409"/>
      <c r="BZ289" s="409"/>
      <c r="CA289" s="409"/>
      <c r="CB289" s="409"/>
      <c r="CC289" s="409"/>
      <c r="CD289" s="409"/>
      <c r="CE289" s="409"/>
      <c r="CF289" s="409"/>
      <c r="CG289" s="409"/>
      <c r="CH289" s="409"/>
      <c r="CI289" s="409">
        <v>52.512400000000007</v>
      </c>
      <c r="CJ289" s="409">
        <v>-3.4889799999999838</v>
      </c>
      <c r="CK289" s="409"/>
      <c r="CL289" s="409"/>
      <c r="CM289" s="409"/>
      <c r="CN289" s="409"/>
      <c r="CO289" s="409">
        <v>-7.6730599999999951</v>
      </c>
      <c r="CP289" s="409">
        <v>0.27564999999999956</v>
      </c>
      <c r="CQ289" s="409">
        <v>29</v>
      </c>
      <c r="CR289" s="409">
        <v>0.76307781858497137</v>
      </c>
      <c r="CS289" s="409">
        <v>0</v>
      </c>
      <c r="CT289" s="409">
        <v>0</v>
      </c>
      <c r="CU289" s="409">
        <v>0</v>
      </c>
      <c r="CV289" s="409">
        <v>0</v>
      </c>
      <c r="CW289" s="409">
        <v>0</v>
      </c>
      <c r="CX289" s="409">
        <v>0</v>
      </c>
      <c r="CY289" s="409">
        <v>0</v>
      </c>
      <c r="CZ289" s="409">
        <v>0.38145068021020201</v>
      </c>
      <c r="DA289" s="409">
        <v>0</v>
      </c>
      <c r="DB289" s="409">
        <v>0</v>
      </c>
      <c r="DC289" s="409">
        <v>0.3630292499658001</v>
      </c>
      <c r="DD289" s="409">
        <v>0</v>
      </c>
      <c r="DE289" s="409">
        <v>0</v>
      </c>
      <c r="DF289" s="409">
        <v>0</v>
      </c>
      <c r="DG289" s="409">
        <v>4.9250659679353603E-2</v>
      </c>
      <c r="DH289" s="409">
        <v>0</v>
      </c>
      <c r="DI289" s="409">
        <v>-5.908735909758156E-3</v>
      </c>
      <c r="DJ289" s="409"/>
      <c r="DK289" s="409">
        <v>0</v>
      </c>
      <c r="DL289" s="409">
        <v>0</v>
      </c>
      <c r="DM289" s="409">
        <v>0</v>
      </c>
      <c r="DN289" s="409">
        <v>0</v>
      </c>
      <c r="DO289" s="409">
        <v>-1.8553291990979215E-3</v>
      </c>
      <c r="DP289" s="409">
        <v>-3.2927755753248758E-3</v>
      </c>
      <c r="DQ289" s="409">
        <v>0</v>
      </c>
      <c r="DR289" s="409">
        <v>-1.9595930586207663E-2</v>
      </c>
      <c r="DS289" s="409"/>
      <c r="DT289" s="409"/>
      <c r="DU289" s="409"/>
      <c r="DV289" s="409">
        <v>35.600135179076972</v>
      </c>
      <c r="DW289" s="409">
        <v>0</v>
      </c>
      <c r="DX289" s="409">
        <v>0</v>
      </c>
      <c r="DY289" s="409">
        <v>-7.6730599999999924</v>
      </c>
      <c r="DZ289" s="409">
        <v>0.27564999999999973</v>
      </c>
      <c r="EA289" s="409">
        <v>0</v>
      </c>
      <c r="EB289" s="409">
        <v>0</v>
      </c>
      <c r="EC289" s="409">
        <v>-8.1603881003006329</v>
      </c>
      <c r="ED289" s="409">
        <v>0</v>
      </c>
      <c r="EE289" s="409">
        <v>0</v>
      </c>
      <c r="EF289" s="409">
        <v>0</v>
      </c>
      <c r="EG289" s="409">
        <v>0</v>
      </c>
      <c r="EH289" s="409">
        <v>0</v>
      </c>
      <c r="EI289" s="409">
        <v>0</v>
      </c>
      <c r="EJ289" s="409">
        <v>0</v>
      </c>
      <c r="EK289" s="409">
        <v>0</v>
      </c>
      <c r="EL289" s="409">
        <v>0</v>
      </c>
      <c r="EM289" s="409">
        <v>0</v>
      </c>
      <c r="EN289" s="409">
        <v>0</v>
      </c>
      <c r="EO289" s="409">
        <v>0</v>
      </c>
      <c r="EP289" s="409">
        <v>0</v>
      </c>
      <c r="EQ289" s="409">
        <v>0</v>
      </c>
      <c r="ER289" s="409">
        <v>0</v>
      </c>
      <c r="ES289" s="409">
        <v>0</v>
      </c>
      <c r="ET289" s="409">
        <v>0</v>
      </c>
      <c r="EU289" s="409">
        <v>0</v>
      </c>
      <c r="EV289" s="409">
        <v>254</v>
      </c>
      <c r="EW289" s="409">
        <v>0</v>
      </c>
      <c r="EX289" s="409">
        <v>0</v>
      </c>
      <c r="EY289" s="409">
        <v>0</v>
      </c>
      <c r="EZ289" s="409"/>
      <c r="FA289" s="409">
        <v>0</v>
      </c>
      <c r="FB289" s="409"/>
      <c r="FC289" s="409"/>
      <c r="FD289" s="409"/>
      <c r="FE289" s="409"/>
      <c r="FF289" s="409">
        <v>0</v>
      </c>
      <c r="FG289" s="409">
        <v>0</v>
      </c>
      <c r="FH289" s="409">
        <v>0</v>
      </c>
      <c r="FI289" s="409">
        <v>0</v>
      </c>
    </row>
    <row r="290" spans="1:165">
      <c r="A290" s="409">
        <v>288</v>
      </c>
      <c r="B290" s="409" t="s">
        <v>1035</v>
      </c>
      <c r="C290" s="409" t="s">
        <v>2252</v>
      </c>
      <c r="D290" s="409" t="s">
        <v>2254</v>
      </c>
      <c r="E290" s="409" t="s">
        <v>973</v>
      </c>
      <c r="F290" s="409" t="s">
        <v>1323</v>
      </c>
      <c r="G290" s="409" t="s">
        <v>1323</v>
      </c>
      <c r="H290" s="409" t="s">
        <v>1323</v>
      </c>
      <c r="I290" s="409" t="s">
        <v>2237</v>
      </c>
      <c r="J290" s="409" t="s">
        <v>2245</v>
      </c>
      <c r="K290" s="835">
        <v>44593</v>
      </c>
      <c r="L290" s="409">
        <v>0</v>
      </c>
      <c r="M290" s="409">
        <v>0</v>
      </c>
      <c r="N290" s="409">
        <v>2.86</v>
      </c>
      <c r="O290" s="409">
        <v>2.86</v>
      </c>
      <c r="P290" s="409">
        <v>2.86</v>
      </c>
      <c r="Q290" s="409">
        <v>2.86</v>
      </c>
      <c r="R290" s="409"/>
      <c r="S290" s="409">
        <v>308.83999999999997</v>
      </c>
      <c r="T290" s="409">
        <v>214.18</v>
      </c>
      <c r="U290" s="409"/>
      <c r="V290" s="409">
        <v>1495.8371999999999</v>
      </c>
      <c r="W290" s="409">
        <v>1495.8371999999999</v>
      </c>
      <c r="X290" s="409">
        <v>1401.0853999999999</v>
      </c>
      <c r="Y290" s="409">
        <v>0</v>
      </c>
      <c r="Z290" s="409">
        <v>62.626736084409352</v>
      </c>
      <c r="AA290" s="409">
        <v>0</v>
      </c>
      <c r="AB290" s="409">
        <v>0</v>
      </c>
      <c r="AC290" s="409">
        <v>0</v>
      </c>
      <c r="AD290" s="409">
        <v>157.2977358207032</v>
      </c>
      <c r="AE290" s="409">
        <v>550.35912972868539</v>
      </c>
      <c r="AF290" s="409">
        <v>612.55701771580596</v>
      </c>
      <c r="AG290" s="409">
        <v>0</v>
      </c>
      <c r="AH290" s="409">
        <v>0</v>
      </c>
      <c r="AI290" s="409">
        <v>0</v>
      </c>
      <c r="AJ290" s="409">
        <v>0</v>
      </c>
      <c r="AK290" s="409">
        <v>0</v>
      </c>
      <c r="AL290" s="409">
        <v>25.568399789399411</v>
      </c>
      <c r="AM290" s="409"/>
      <c r="AN290" s="409">
        <v>4.3210219902516522</v>
      </c>
      <c r="AO290" s="409">
        <v>0</v>
      </c>
      <c r="AP290" s="409">
        <v>0</v>
      </c>
      <c r="AQ290" s="409">
        <v>0</v>
      </c>
      <c r="AR290" s="409">
        <v>0</v>
      </c>
      <c r="AS290" s="409">
        <v>0</v>
      </c>
      <c r="AT290" s="409">
        <v>0</v>
      </c>
      <c r="AU290" s="409">
        <v>0</v>
      </c>
      <c r="AV290" s="409">
        <v>0</v>
      </c>
      <c r="AW290" s="409">
        <v>0</v>
      </c>
      <c r="AX290" s="409">
        <v>0</v>
      </c>
      <c r="AY290" s="409">
        <v>0</v>
      </c>
      <c r="AZ290" s="409">
        <v>0</v>
      </c>
      <c r="BA290" s="409"/>
      <c r="BB290" s="409">
        <v>0</v>
      </c>
      <c r="BC290" s="409">
        <v>0</v>
      </c>
      <c r="BD290" s="409">
        <v>0</v>
      </c>
      <c r="BE290" s="409">
        <v>0</v>
      </c>
      <c r="BF290" s="409">
        <v>0</v>
      </c>
      <c r="BG290" s="409">
        <v>83.103048078253906</v>
      </c>
      <c r="BH290" s="409">
        <v>0</v>
      </c>
      <c r="BI290" s="409">
        <v>0</v>
      </c>
      <c r="BJ290" s="409">
        <v>0</v>
      </c>
      <c r="BK290" s="409">
        <v>0</v>
      </c>
      <c r="BL290" s="409">
        <v>0</v>
      </c>
      <c r="BM290" s="409"/>
      <c r="BN290" s="409"/>
      <c r="BO290" s="409"/>
      <c r="BP290" s="409"/>
      <c r="BQ290" s="409"/>
      <c r="BR290" s="409"/>
      <c r="BS290" s="409"/>
      <c r="BT290" s="409"/>
      <c r="BU290" s="409"/>
      <c r="BV290" s="409">
        <v>695.66006579405985</v>
      </c>
      <c r="BW290" s="409"/>
      <c r="BX290" s="409"/>
      <c r="BY290" s="409"/>
      <c r="BZ290" s="409"/>
      <c r="CA290" s="409"/>
      <c r="CB290" s="409"/>
      <c r="CC290" s="409"/>
      <c r="CD290" s="409"/>
      <c r="CE290" s="409"/>
      <c r="CF290" s="409"/>
      <c r="CG290" s="409"/>
      <c r="CH290" s="409"/>
      <c r="CI290" s="409">
        <v>1401.0853999999999</v>
      </c>
      <c r="CJ290" s="409">
        <v>-94.781799999999976</v>
      </c>
      <c r="CK290" s="409"/>
      <c r="CL290" s="409"/>
      <c r="CM290" s="409"/>
      <c r="CN290" s="409"/>
      <c r="CO290" s="409">
        <v>-116.05879999999995</v>
      </c>
      <c r="CP290" s="409">
        <v>21.306999999999967</v>
      </c>
      <c r="CQ290" s="409">
        <v>29</v>
      </c>
      <c r="CR290" s="409">
        <v>31.399837911303734</v>
      </c>
      <c r="CS290" s="409">
        <v>0</v>
      </c>
      <c r="CT290" s="409">
        <v>0</v>
      </c>
      <c r="CU290" s="409">
        <v>0</v>
      </c>
      <c r="CV290" s="409">
        <v>0</v>
      </c>
      <c r="CW290" s="409">
        <v>0</v>
      </c>
      <c r="CX290" s="409">
        <v>0</v>
      </c>
      <c r="CY290" s="409">
        <v>0</v>
      </c>
      <c r="CZ290" s="409">
        <v>5.8971893633878949</v>
      </c>
      <c r="DA290" s="409">
        <v>0</v>
      </c>
      <c r="DB290" s="409">
        <v>0</v>
      </c>
      <c r="DC290" s="409">
        <v>28.061179862221252</v>
      </c>
      <c r="DD290" s="409">
        <v>0</v>
      </c>
      <c r="DE290" s="409">
        <v>0</v>
      </c>
      <c r="DF290" s="409">
        <v>0</v>
      </c>
      <c r="DG290" s="409">
        <v>3.8069428833230177</v>
      </c>
      <c r="DH290" s="409">
        <v>0</v>
      </c>
      <c r="DI290" s="409">
        <v>-0.456729316267797</v>
      </c>
      <c r="DJ290" s="409"/>
      <c r="DK290" s="409">
        <v>0</v>
      </c>
      <c r="DL290" s="409">
        <v>0</v>
      </c>
      <c r="DM290" s="409">
        <v>0</v>
      </c>
      <c r="DN290" s="409">
        <v>0</v>
      </c>
      <c r="DO290" s="409">
        <v>-0.14341193268702668</v>
      </c>
      <c r="DP290" s="409">
        <v>-0.2545226525791664</v>
      </c>
      <c r="DQ290" s="409">
        <v>0</v>
      </c>
      <c r="DR290" s="409">
        <v>-5.5108102960943173</v>
      </c>
      <c r="DS290" s="409"/>
      <c r="DT290" s="409"/>
      <c r="DU290" s="409"/>
      <c r="DV290" s="409">
        <v>550.35912972868539</v>
      </c>
      <c r="DW290" s="409">
        <v>0</v>
      </c>
      <c r="DX290" s="409">
        <v>0</v>
      </c>
      <c r="DY290" s="409">
        <v>-116.05880000000002</v>
      </c>
      <c r="DZ290" s="409">
        <v>21.306999999999903</v>
      </c>
      <c r="EA290" s="409">
        <v>0</v>
      </c>
      <c r="EB290" s="409">
        <v>0</v>
      </c>
      <c r="EC290" s="409">
        <v>-126.15525392075892</v>
      </c>
      <c r="ED290" s="409">
        <v>0</v>
      </c>
      <c r="EE290" s="409">
        <v>0</v>
      </c>
      <c r="EF290" s="409">
        <v>0</v>
      </c>
      <c r="EG290" s="409">
        <v>0</v>
      </c>
      <c r="EH290" s="409">
        <v>0</v>
      </c>
      <c r="EI290" s="409">
        <v>0</v>
      </c>
      <c r="EJ290" s="409">
        <v>0</v>
      </c>
      <c r="EK290" s="409">
        <v>0</v>
      </c>
      <c r="EL290" s="409">
        <v>0</v>
      </c>
      <c r="EM290" s="409">
        <v>0</v>
      </c>
      <c r="EN290" s="409">
        <v>0</v>
      </c>
      <c r="EO290" s="409">
        <v>0</v>
      </c>
      <c r="EP290" s="409">
        <v>0</v>
      </c>
      <c r="EQ290" s="409">
        <v>0</v>
      </c>
      <c r="ER290" s="409">
        <v>0</v>
      </c>
      <c r="ES290" s="409">
        <v>0</v>
      </c>
      <c r="ET290" s="409">
        <v>0</v>
      </c>
      <c r="EU290" s="409">
        <v>0</v>
      </c>
      <c r="EV290" s="409">
        <v>254</v>
      </c>
      <c r="EW290" s="409">
        <v>0</v>
      </c>
      <c r="EX290" s="409">
        <v>0</v>
      </c>
      <c r="EY290" s="409">
        <v>0</v>
      </c>
      <c r="EZ290" s="409"/>
      <c r="FA290" s="409">
        <v>0</v>
      </c>
      <c r="FB290" s="409"/>
      <c r="FC290" s="409"/>
      <c r="FD290" s="409"/>
      <c r="FE290" s="409"/>
      <c r="FF290" s="409">
        <v>0</v>
      </c>
      <c r="FG290" s="409">
        <v>0</v>
      </c>
      <c r="FH290" s="409">
        <v>0</v>
      </c>
      <c r="FI290" s="409">
        <v>0</v>
      </c>
    </row>
    <row r="291" spans="1:165">
      <c r="A291" s="409">
        <v>289</v>
      </c>
      <c r="B291" s="409" t="s">
        <v>1035</v>
      </c>
      <c r="C291" s="409" t="s">
        <v>2252</v>
      </c>
      <c r="D291" s="409" t="s">
        <v>2254</v>
      </c>
      <c r="E291" s="409" t="s">
        <v>973</v>
      </c>
      <c r="F291" s="409" t="s">
        <v>1323</v>
      </c>
      <c r="G291" s="409" t="s">
        <v>1323</v>
      </c>
      <c r="H291" s="409" t="s">
        <v>1323</v>
      </c>
      <c r="I291" s="409" t="s">
        <v>1323</v>
      </c>
      <c r="J291" s="409" t="s">
        <v>2245</v>
      </c>
      <c r="K291" s="835">
        <v>44593</v>
      </c>
      <c r="L291" s="409">
        <v>0</v>
      </c>
      <c r="M291" s="409">
        <v>0</v>
      </c>
      <c r="N291" s="409">
        <v>9.9000000000000005E-2</v>
      </c>
      <c r="O291" s="409">
        <v>9.9000000000000005E-2</v>
      </c>
      <c r="P291" s="409">
        <v>9.9000000000000005E-2</v>
      </c>
      <c r="Q291" s="409">
        <v>9.9000000000000005E-2</v>
      </c>
      <c r="R291" s="409"/>
      <c r="S291" s="409">
        <v>597.01</v>
      </c>
      <c r="T291" s="409">
        <v>243.39</v>
      </c>
      <c r="U291" s="409"/>
      <c r="V291" s="409">
        <v>83.199600000000004</v>
      </c>
      <c r="W291" s="409">
        <v>83.199600000000004</v>
      </c>
      <c r="X291" s="409">
        <v>75.366720000000001</v>
      </c>
      <c r="Y291" s="409">
        <v>0</v>
      </c>
      <c r="Z291" s="409">
        <v>2.4634642690545627</v>
      </c>
      <c r="AA291" s="409">
        <v>0</v>
      </c>
      <c r="AB291" s="409">
        <v>0</v>
      </c>
      <c r="AC291" s="409">
        <v>0</v>
      </c>
      <c r="AD291" s="409">
        <v>11.601717495369606</v>
      </c>
      <c r="AE291" s="409">
        <v>40.59381395152235</v>
      </c>
      <c r="AF291" s="409">
        <v>24.095337235324543</v>
      </c>
      <c r="AG291" s="409">
        <v>0</v>
      </c>
      <c r="AH291" s="409">
        <v>0</v>
      </c>
      <c r="AI291" s="409">
        <v>0</v>
      </c>
      <c r="AJ291" s="409">
        <v>0</v>
      </c>
      <c r="AK291" s="409">
        <v>0</v>
      </c>
      <c r="AL291" s="409">
        <v>1.005749991715887</v>
      </c>
      <c r="AM291" s="409"/>
      <c r="AN291" s="409">
        <v>0.1699702705955628</v>
      </c>
      <c r="AO291" s="409">
        <v>0</v>
      </c>
      <c r="AP291" s="409">
        <v>0</v>
      </c>
      <c r="AQ291" s="409">
        <v>0</v>
      </c>
      <c r="AR291" s="409">
        <v>0</v>
      </c>
      <c r="AS291" s="409">
        <v>0</v>
      </c>
      <c r="AT291" s="409">
        <v>0</v>
      </c>
      <c r="AU291" s="409">
        <v>0</v>
      </c>
      <c r="AV291" s="409">
        <v>0</v>
      </c>
      <c r="AW291" s="409">
        <v>0</v>
      </c>
      <c r="AX291" s="409">
        <v>0</v>
      </c>
      <c r="AY291" s="409">
        <v>0</v>
      </c>
      <c r="AZ291" s="409">
        <v>0</v>
      </c>
      <c r="BA291" s="409"/>
      <c r="BB291" s="409">
        <v>0</v>
      </c>
      <c r="BC291" s="409">
        <v>0</v>
      </c>
      <c r="BD291" s="409">
        <v>0</v>
      </c>
      <c r="BE291" s="409">
        <v>0</v>
      </c>
      <c r="BF291" s="409">
        <v>0</v>
      </c>
      <c r="BG291" s="409">
        <v>3.2689136044767708</v>
      </c>
      <c r="BH291" s="409">
        <v>0</v>
      </c>
      <c r="BI291" s="409">
        <v>2.2999999999999998</v>
      </c>
      <c r="BJ291" s="409">
        <v>10.6</v>
      </c>
      <c r="BK291" s="409">
        <v>0</v>
      </c>
      <c r="BL291" s="409">
        <v>8</v>
      </c>
      <c r="BM291" s="409"/>
      <c r="BN291" s="409"/>
      <c r="BO291" s="409"/>
      <c r="BP291" s="409"/>
      <c r="BQ291" s="409"/>
      <c r="BR291" s="409">
        <v>9.0446399999999993</v>
      </c>
      <c r="BS291" s="409"/>
      <c r="BT291" s="409"/>
      <c r="BU291" s="409"/>
      <c r="BV291" s="409">
        <v>27.364250839801315</v>
      </c>
      <c r="BW291" s="409"/>
      <c r="BX291" s="409"/>
      <c r="BY291" s="409"/>
      <c r="BZ291" s="409"/>
      <c r="CA291" s="409"/>
      <c r="CB291" s="409"/>
      <c r="CC291" s="409"/>
      <c r="CD291" s="409"/>
      <c r="CE291" s="409"/>
      <c r="CF291" s="409"/>
      <c r="CG291" s="409"/>
      <c r="CH291" s="409"/>
      <c r="CI291" s="409">
        <v>66.992000000000004</v>
      </c>
      <c r="CJ291" s="409">
        <v>-6.2534500000000008</v>
      </c>
      <c r="CK291" s="409"/>
      <c r="CL291" s="409"/>
      <c r="CM291" s="409"/>
      <c r="CN291" s="409"/>
      <c r="CO291" s="409">
        <v>-8.6704199999999982</v>
      </c>
      <c r="CP291" s="409">
        <v>0.83754000000000084</v>
      </c>
      <c r="CQ291" s="409">
        <v>29</v>
      </c>
      <c r="CR291" s="409">
        <v>1.4725084780743956</v>
      </c>
      <c r="CS291" s="409">
        <v>0</v>
      </c>
      <c r="CT291" s="409">
        <v>0</v>
      </c>
      <c r="CU291" s="409">
        <v>0</v>
      </c>
      <c r="CV291" s="409">
        <v>0</v>
      </c>
      <c r="CW291" s="409">
        <v>0</v>
      </c>
      <c r="CX291" s="409">
        <v>0</v>
      </c>
      <c r="CY291" s="409">
        <v>0</v>
      </c>
      <c r="CZ291" s="409">
        <v>0.43495556152643289</v>
      </c>
      <c r="DA291" s="409">
        <v>0</v>
      </c>
      <c r="DB291" s="409">
        <v>0</v>
      </c>
      <c r="DC291" s="409">
        <v>1.1038051519230763</v>
      </c>
      <c r="DD291" s="409">
        <v>0</v>
      </c>
      <c r="DE291" s="409">
        <v>0</v>
      </c>
      <c r="DF291" s="409">
        <v>0</v>
      </c>
      <c r="DG291" s="409">
        <v>0.14974862740343564</v>
      </c>
      <c r="DH291" s="409">
        <v>0</v>
      </c>
      <c r="DI291" s="409">
        <v>-1.7965751076969294E-2</v>
      </c>
      <c r="DJ291" s="409"/>
      <c r="DK291" s="409">
        <v>0</v>
      </c>
      <c r="DL291" s="409">
        <v>0</v>
      </c>
      <c r="DM291" s="409">
        <v>0</v>
      </c>
      <c r="DN291" s="409">
        <v>0</v>
      </c>
      <c r="DO291" s="409">
        <v>-5.6412036459108084E-3</v>
      </c>
      <c r="DP291" s="409">
        <v>-1.0011817627676362E-2</v>
      </c>
      <c r="DQ291" s="409">
        <v>0</v>
      </c>
      <c r="DR291" s="409">
        <v>-0.18238209042798462</v>
      </c>
      <c r="DS291" s="409"/>
      <c r="DT291" s="409"/>
      <c r="DU291" s="409"/>
      <c r="DV291" s="409">
        <v>40.59381395152235</v>
      </c>
      <c r="DW291" s="409">
        <v>0</v>
      </c>
      <c r="DX291" s="409">
        <v>0</v>
      </c>
      <c r="DY291" s="409">
        <v>-8.67042</v>
      </c>
      <c r="DZ291" s="409">
        <v>0.83754000000000062</v>
      </c>
      <c r="EA291" s="409">
        <v>0</v>
      </c>
      <c r="EB291" s="409">
        <v>0</v>
      </c>
      <c r="EC291" s="409">
        <v>-9.3050566985069096</v>
      </c>
      <c r="ED291" s="409">
        <v>0</v>
      </c>
      <c r="EE291" s="409">
        <v>0</v>
      </c>
      <c r="EF291" s="409">
        <v>0</v>
      </c>
      <c r="EG291" s="409">
        <v>0</v>
      </c>
      <c r="EH291" s="409">
        <v>0</v>
      </c>
      <c r="EI291" s="409">
        <v>0</v>
      </c>
      <c r="EJ291" s="409">
        <v>0</v>
      </c>
      <c r="EK291" s="409">
        <v>0</v>
      </c>
      <c r="EL291" s="409">
        <v>0</v>
      </c>
      <c r="EM291" s="409">
        <v>0</v>
      </c>
      <c r="EN291" s="409">
        <v>0</v>
      </c>
      <c r="EO291" s="409">
        <v>0</v>
      </c>
      <c r="EP291" s="409">
        <v>0</v>
      </c>
      <c r="EQ291" s="409">
        <v>0</v>
      </c>
      <c r="ER291" s="409">
        <v>0</v>
      </c>
      <c r="ES291" s="409">
        <v>0</v>
      </c>
      <c r="ET291" s="409">
        <v>0</v>
      </c>
      <c r="EU291" s="409">
        <v>0</v>
      </c>
      <c r="EV291" s="409">
        <v>254</v>
      </c>
      <c r="EW291" s="409">
        <v>0</v>
      </c>
      <c r="EX291" s="409">
        <v>0</v>
      </c>
      <c r="EY291" s="409">
        <v>0</v>
      </c>
      <c r="EZ291" s="409"/>
      <c r="FA291" s="409">
        <v>0</v>
      </c>
      <c r="FB291" s="409"/>
      <c r="FC291" s="409"/>
      <c r="FD291" s="409"/>
      <c r="FE291" s="409"/>
      <c r="FF291" s="409">
        <v>0</v>
      </c>
      <c r="FG291" s="409">
        <v>0</v>
      </c>
      <c r="FH291" s="409">
        <v>0</v>
      </c>
      <c r="FI291" s="409">
        <v>0</v>
      </c>
    </row>
    <row r="292" spans="1:165">
      <c r="A292" s="409">
        <v>290</v>
      </c>
      <c r="B292" s="409" t="s">
        <v>1035</v>
      </c>
      <c r="C292" s="409" t="s">
        <v>2252</v>
      </c>
      <c r="D292" s="409" t="s">
        <v>2254</v>
      </c>
      <c r="E292" s="409" t="s">
        <v>973</v>
      </c>
      <c r="F292" s="409" t="s">
        <v>1323</v>
      </c>
      <c r="G292" s="409" t="s">
        <v>1323</v>
      </c>
      <c r="H292" s="409" t="s">
        <v>1323</v>
      </c>
      <c r="I292" s="409" t="s">
        <v>2253</v>
      </c>
      <c r="J292" s="409" t="s">
        <v>2245</v>
      </c>
      <c r="K292" s="835">
        <v>44593</v>
      </c>
      <c r="L292" s="409">
        <v>0</v>
      </c>
      <c r="M292" s="409">
        <v>0</v>
      </c>
      <c r="N292" s="409">
        <v>0.105</v>
      </c>
      <c r="O292" s="409">
        <v>0.105</v>
      </c>
      <c r="P292" s="409">
        <v>0.105</v>
      </c>
      <c r="Q292" s="409">
        <v>0.105</v>
      </c>
      <c r="R292" s="409"/>
      <c r="S292" s="409">
        <v>803.7</v>
      </c>
      <c r="T292" s="409">
        <v>214.18</v>
      </c>
      <c r="U292" s="409"/>
      <c r="V292" s="409">
        <v>106.87740000000001</v>
      </c>
      <c r="W292" s="409">
        <v>106.87740000000001</v>
      </c>
      <c r="X292" s="409">
        <v>94.641750000000002</v>
      </c>
      <c r="Y292" s="409">
        <v>0</v>
      </c>
      <c r="Z292" s="409">
        <v>2.2992333177842594</v>
      </c>
      <c r="AA292" s="409">
        <v>0</v>
      </c>
      <c r="AB292" s="409">
        <v>0</v>
      </c>
      <c r="AC292" s="409">
        <v>0</v>
      </c>
      <c r="AD292" s="409">
        <v>17.324333898951657</v>
      </c>
      <c r="AE292" s="409">
        <v>60.616425593318176</v>
      </c>
      <c r="AF292" s="409">
        <v>22.488981419636232</v>
      </c>
      <c r="AG292" s="409">
        <v>0</v>
      </c>
      <c r="AH292" s="409">
        <v>0</v>
      </c>
      <c r="AI292" s="409">
        <v>0</v>
      </c>
      <c r="AJ292" s="409">
        <v>0</v>
      </c>
      <c r="AK292" s="409">
        <v>0</v>
      </c>
      <c r="AL292" s="409">
        <v>0.93869999226816014</v>
      </c>
      <c r="AM292" s="409"/>
      <c r="AN292" s="409">
        <v>0.15863891922252571</v>
      </c>
      <c r="AO292" s="409">
        <v>0</v>
      </c>
      <c r="AP292" s="409">
        <v>0</v>
      </c>
      <c r="AQ292" s="409">
        <v>0</v>
      </c>
      <c r="AR292" s="409">
        <v>0</v>
      </c>
      <c r="AS292" s="409">
        <v>0</v>
      </c>
      <c r="AT292" s="409">
        <v>0</v>
      </c>
      <c r="AU292" s="409">
        <v>0</v>
      </c>
      <c r="AV292" s="409">
        <v>0</v>
      </c>
      <c r="AW292" s="409">
        <v>0</v>
      </c>
      <c r="AX292" s="409">
        <v>0</v>
      </c>
      <c r="AY292" s="409">
        <v>0</v>
      </c>
      <c r="AZ292" s="409">
        <v>0</v>
      </c>
      <c r="BA292" s="409"/>
      <c r="BB292" s="409">
        <v>0</v>
      </c>
      <c r="BC292" s="409">
        <v>0</v>
      </c>
      <c r="BD292" s="409">
        <v>0</v>
      </c>
      <c r="BE292" s="409">
        <v>0</v>
      </c>
      <c r="BF292" s="409">
        <v>0</v>
      </c>
      <c r="BG292" s="409">
        <v>3.0509860308449861</v>
      </c>
      <c r="BH292" s="409">
        <v>0</v>
      </c>
      <c r="BI292" s="409">
        <v>0</v>
      </c>
      <c r="BJ292" s="409">
        <v>0</v>
      </c>
      <c r="BK292" s="409">
        <v>0</v>
      </c>
      <c r="BL292" s="409">
        <v>0</v>
      </c>
      <c r="BM292" s="409"/>
      <c r="BN292" s="409"/>
      <c r="BO292" s="409"/>
      <c r="BP292" s="409"/>
      <c r="BQ292" s="409"/>
      <c r="BR292" s="409"/>
      <c r="BS292" s="409"/>
      <c r="BT292" s="409"/>
      <c r="BU292" s="409"/>
      <c r="BV292" s="409">
        <v>25.539967450481218</v>
      </c>
      <c r="BW292" s="409"/>
      <c r="BX292" s="409"/>
      <c r="BY292" s="409"/>
      <c r="BZ292" s="409"/>
      <c r="CA292" s="409"/>
      <c r="CB292" s="409"/>
      <c r="CC292" s="409"/>
      <c r="CD292" s="409"/>
      <c r="CE292" s="409"/>
      <c r="CF292" s="409"/>
      <c r="CG292" s="409"/>
      <c r="CH292" s="409"/>
      <c r="CI292" s="409">
        <v>99.148499999999999</v>
      </c>
      <c r="CJ292" s="409">
        <v>-7.7589000000000254</v>
      </c>
      <c r="CK292" s="409"/>
      <c r="CL292" s="409"/>
      <c r="CM292" s="409"/>
      <c r="CN292" s="409"/>
      <c r="CO292" s="409">
        <v>-13.017900000000001</v>
      </c>
      <c r="CP292" s="409">
        <v>0.78224999999999878</v>
      </c>
      <c r="CQ292" s="409">
        <v>29</v>
      </c>
      <c r="CR292" s="409">
        <v>1.6591409348585415</v>
      </c>
      <c r="CS292" s="409">
        <v>0</v>
      </c>
      <c r="CT292" s="409">
        <v>0</v>
      </c>
      <c r="CU292" s="409">
        <v>0</v>
      </c>
      <c r="CV292" s="409">
        <v>0</v>
      </c>
      <c r="CW292" s="409">
        <v>0</v>
      </c>
      <c r="CX292" s="409">
        <v>0</v>
      </c>
      <c r="CY292" s="409">
        <v>0</v>
      </c>
      <c r="CZ292" s="409">
        <v>0.64949998843674095</v>
      </c>
      <c r="DA292" s="409">
        <v>0</v>
      </c>
      <c r="DB292" s="409">
        <v>0</v>
      </c>
      <c r="DC292" s="409">
        <v>1.0302181417948368</v>
      </c>
      <c r="DD292" s="409">
        <v>0</v>
      </c>
      <c r="DE292" s="409">
        <v>0</v>
      </c>
      <c r="DF292" s="409">
        <v>0</v>
      </c>
      <c r="DG292" s="409">
        <v>0.13976538557654417</v>
      </c>
      <c r="DH292" s="409">
        <v>0</v>
      </c>
      <c r="DI292" s="409">
        <v>-1.6768034338503046E-2</v>
      </c>
      <c r="DJ292" s="409"/>
      <c r="DK292" s="409">
        <v>0</v>
      </c>
      <c r="DL292" s="409">
        <v>0</v>
      </c>
      <c r="DM292" s="409">
        <v>0</v>
      </c>
      <c r="DN292" s="409">
        <v>0</v>
      </c>
      <c r="DO292" s="409">
        <v>-5.2651234028453509E-3</v>
      </c>
      <c r="DP292" s="409">
        <v>-9.3443631191651999E-3</v>
      </c>
      <c r="DQ292" s="409">
        <v>0</v>
      </c>
      <c r="DR292" s="409">
        <v>-0.12896506008906555</v>
      </c>
      <c r="DS292" s="409"/>
      <c r="DT292" s="409"/>
      <c r="DU292" s="409"/>
      <c r="DV292" s="409">
        <v>60.616425593318176</v>
      </c>
      <c r="DW292" s="409">
        <v>0</v>
      </c>
      <c r="DX292" s="409">
        <v>0</v>
      </c>
      <c r="DY292" s="409">
        <v>-13.017900000000012</v>
      </c>
      <c r="DZ292" s="409">
        <v>0.78224999999999767</v>
      </c>
      <c r="EA292" s="409">
        <v>0</v>
      </c>
      <c r="EB292" s="409">
        <v>0</v>
      </c>
      <c r="EC292" s="409">
        <v>-13.89471010731426</v>
      </c>
      <c r="ED292" s="409">
        <v>0</v>
      </c>
      <c r="EE292" s="409">
        <v>0</v>
      </c>
      <c r="EF292" s="409">
        <v>0</v>
      </c>
      <c r="EG292" s="409">
        <v>0</v>
      </c>
      <c r="EH292" s="409">
        <v>0</v>
      </c>
      <c r="EI292" s="409">
        <v>0</v>
      </c>
      <c r="EJ292" s="409">
        <v>0</v>
      </c>
      <c r="EK292" s="409">
        <v>0</v>
      </c>
      <c r="EL292" s="409">
        <v>0</v>
      </c>
      <c r="EM292" s="409">
        <v>0</v>
      </c>
      <c r="EN292" s="409">
        <v>0</v>
      </c>
      <c r="EO292" s="409">
        <v>0</v>
      </c>
      <c r="EP292" s="409">
        <v>0</v>
      </c>
      <c r="EQ292" s="409">
        <v>0</v>
      </c>
      <c r="ER292" s="409">
        <v>0</v>
      </c>
      <c r="ES292" s="409">
        <v>0</v>
      </c>
      <c r="ET292" s="409">
        <v>0</v>
      </c>
      <c r="EU292" s="409">
        <v>0</v>
      </c>
      <c r="EV292" s="409">
        <v>254</v>
      </c>
      <c r="EW292" s="409">
        <v>0</v>
      </c>
      <c r="EX292" s="409">
        <v>0</v>
      </c>
      <c r="EY292" s="409">
        <v>0</v>
      </c>
      <c r="EZ292" s="409"/>
      <c r="FA292" s="409">
        <v>0</v>
      </c>
      <c r="FB292" s="409"/>
      <c r="FC292" s="409"/>
      <c r="FD292" s="409"/>
      <c r="FE292" s="409"/>
      <c r="FF292" s="409">
        <v>0</v>
      </c>
      <c r="FG292" s="409">
        <v>0</v>
      </c>
      <c r="FH292" s="409">
        <v>0</v>
      </c>
      <c r="FI292" s="409">
        <v>0</v>
      </c>
    </row>
    <row r="293" spans="1:165">
      <c r="A293" s="409">
        <v>291</v>
      </c>
      <c r="B293" s="409" t="s">
        <v>1035</v>
      </c>
      <c r="C293" s="409" t="s">
        <v>2244</v>
      </c>
      <c r="D293" s="409" t="s">
        <v>1994</v>
      </c>
      <c r="E293" s="409" t="s">
        <v>2255</v>
      </c>
      <c r="F293" s="409" t="s">
        <v>1323</v>
      </c>
      <c r="G293" s="409" t="s">
        <v>1323</v>
      </c>
      <c r="H293" s="409" t="s">
        <v>1323</v>
      </c>
      <c r="I293" s="409" t="s">
        <v>1323</v>
      </c>
      <c r="J293" s="409" t="s">
        <v>2245</v>
      </c>
      <c r="K293" s="835">
        <v>44593</v>
      </c>
      <c r="L293" s="409">
        <v>0</v>
      </c>
      <c r="M293" s="409">
        <v>0</v>
      </c>
      <c r="N293" s="409">
        <v>16.347999999999999</v>
      </c>
      <c r="O293" s="409">
        <v>16.347999999999999</v>
      </c>
      <c r="P293" s="409">
        <v>16.347999999999999</v>
      </c>
      <c r="Q293" s="409">
        <v>16.347999999999999</v>
      </c>
      <c r="R293" s="409"/>
      <c r="S293" s="409">
        <v>597.01</v>
      </c>
      <c r="T293" s="409">
        <v>243.39</v>
      </c>
      <c r="U293" s="409"/>
      <c r="V293" s="409">
        <v>13738.859199999999</v>
      </c>
      <c r="W293" s="409">
        <v>13738.859199999999</v>
      </c>
      <c r="X293" s="409">
        <v>12445.405439999999</v>
      </c>
      <c r="Y293" s="409">
        <v>0</v>
      </c>
      <c r="Z293" s="409">
        <v>406.79508960105034</v>
      </c>
      <c r="AA293" s="409">
        <v>0</v>
      </c>
      <c r="AB293" s="409">
        <v>0</v>
      </c>
      <c r="AC293" s="409">
        <v>0</v>
      </c>
      <c r="AD293" s="409">
        <v>1915.8068445889121</v>
      </c>
      <c r="AE293" s="409">
        <v>6703.3098028231034</v>
      </c>
      <c r="AF293" s="409">
        <v>3978.8946780109654</v>
      </c>
      <c r="AG293" s="409">
        <v>0</v>
      </c>
      <c r="AH293" s="409">
        <v>0</v>
      </c>
      <c r="AI293" s="409">
        <v>0</v>
      </c>
      <c r="AJ293" s="409">
        <v>0</v>
      </c>
      <c r="AK293" s="409">
        <v>0</v>
      </c>
      <c r="AL293" s="409">
        <v>166.0808168138517</v>
      </c>
      <c r="AM293" s="409"/>
      <c r="AN293" s="409">
        <v>28.067413976729902</v>
      </c>
      <c r="AO293" s="409">
        <v>0</v>
      </c>
      <c r="AP293" s="409">
        <v>0</v>
      </c>
      <c r="AQ293" s="409">
        <v>0</v>
      </c>
      <c r="AR293" s="409">
        <v>0</v>
      </c>
      <c r="AS293" s="409">
        <v>0</v>
      </c>
      <c r="AT293" s="409">
        <v>0</v>
      </c>
      <c r="AU293" s="409">
        <v>0</v>
      </c>
      <c r="AV293" s="409">
        <v>0</v>
      </c>
      <c r="AW293" s="409">
        <v>0</v>
      </c>
      <c r="AX293" s="409">
        <v>0</v>
      </c>
      <c r="AY293" s="409">
        <v>0</v>
      </c>
      <c r="AZ293" s="409">
        <v>0</v>
      </c>
      <c r="BA293" s="409"/>
      <c r="BB293" s="409">
        <v>0</v>
      </c>
      <c r="BC293" s="409">
        <v>0</v>
      </c>
      <c r="BD293" s="409">
        <v>0</v>
      </c>
      <c r="BE293" s="409">
        <v>0</v>
      </c>
      <c r="BF293" s="409">
        <v>0</v>
      </c>
      <c r="BG293" s="409">
        <v>539.79999602006308</v>
      </c>
      <c r="BH293" s="409">
        <v>0</v>
      </c>
      <c r="BI293" s="409">
        <v>18.28</v>
      </c>
      <c r="BJ293" s="409">
        <v>84.4</v>
      </c>
      <c r="BK293" s="409">
        <v>1478.97</v>
      </c>
      <c r="BL293" s="409">
        <v>30</v>
      </c>
      <c r="BM293" s="409"/>
      <c r="BN293" s="409"/>
      <c r="BO293" s="409"/>
      <c r="BP293" s="409"/>
      <c r="BQ293" s="409"/>
      <c r="BR293" s="409"/>
      <c r="BS293" s="409"/>
      <c r="BT293" s="409"/>
      <c r="BU293" s="409"/>
      <c r="BV293" s="409">
        <v>4518.6946740310286</v>
      </c>
      <c r="BW293" s="409"/>
      <c r="BX293" s="409"/>
      <c r="BY293" s="409"/>
      <c r="BZ293" s="409"/>
      <c r="CA293" s="409"/>
      <c r="CB293" s="409"/>
      <c r="CC293" s="409"/>
      <c r="CD293" s="409"/>
      <c r="CE293" s="409"/>
      <c r="CF293" s="409"/>
      <c r="CG293" s="409"/>
      <c r="CH293" s="409"/>
      <c r="CI293" s="409">
        <v>12446.928</v>
      </c>
      <c r="CJ293" s="409">
        <v>-1291.9611999999997</v>
      </c>
      <c r="CK293" s="409"/>
      <c r="CL293" s="409"/>
      <c r="CM293" s="409"/>
      <c r="CN293" s="409"/>
      <c r="CO293" s="409">
        <v>-1431.7578399999998</v>
      </c>
      <c r="CP293" s="409">
        <v>138.30408000000011</v>
      </c>
      <c r="CQ293" s="409">
        <v>29</v>
      </c>
      <c r="CR293" s="409">
        <v>243.15725858141741</v>
      </c>
      <c r="CS293" s="409">
        <v>0</v>
      </c>
      <c r="CT293" s="409">
        <v>0</v>
      </c>
      <c r="CU293" s="409">
        <v>0</v>
      </c>
      <c r="CV293" s="409">
        <v>0</v>
      </c>
      <c r="CW293" s="409">
        <v>0</v>
      </c>
      <c r="CX293" s="409">
        <v>0</v>
      </c>
      <c r="CY293" s="409">
        <v>0</v>
      </c>
      <c r="CZ293" s="409">
        <v>71.82478302862728</v>
      </c>
      <c r="DA293" s="409">
        <v>0</v>
      </c>
      <c r="DB293" s="409">
        <v>0</v>
      </c>
      <c r="DC293" s="409">
        <v>182.27279417816681</v>
      </c>
      <c r="DD293" s="409">
        <v>0</v>
      </c>
      <c r="DE293" s="409">
        <v>0</v>
      </c>
      <c r="DF293" s="409">
        <v>0</v>
      </c>
      <c r="DG293" s="409">
        <v>24.728187482741077</v>
      </c>
      <c r="DH293" s="409">
        <v>0</v>
      </c>
      <c r="DI293" s="409">
        <v>-2.9667080667302343</v>
      </c>
      <c r="DJ293" s="409"/>
      <c r="DK293" s="409">
        <v>0</v>
      </c>
      <c r="DL293" s="409">
        <v>0</v>
      </c>
      <c r="DM293" s="409">
        <v>0</v>
      </c>
      <c r="DN293" s="409">
        <v>0</v>
      </c>
      <c r="DO293" s="409">
        <v>-0.93153936569038365</v>
      </c>
      <c r="DP293" s="409">
        <v>-1.6532645916894246</v>
      </c>
      <c r="DQ293" s="409">
        <v>0</v>
      </c>
      <c r="DR293" s="409">
        <v>-30.11699408400699</v>
      </c>
      <c r="DS293" s="409"/>
      <c r="DT293" s="409"/>
      <c r="DU293" s="409"/>
      <c r="DV293" s="409">
        <v>6703.3098028231034</v>
      </c>
      <c r="DW293" s="409">
        <v>0</v>
      </c>
      <c r="DX293" s="409">
        <v>0</v>
      </c>
      <c r="DY293" s="409">
        <v>-1431.7578399999984</v>
      </c>
      <c r="DZ293" s="409">
        <v>138.30407999999989</v>
      </c>
      <c r="EA293" s="409">
        <v>0</v>
      </c>
      <c r="EB293" s="409">
        <v>0</v>
      </c>
      <c r="EC293" s="409">
        <v>-1536.5562313857663</v>
      </c>
      <c r="ED293" s="409">
        <v>0</v>
      </c>
      <c r="EE293" s="409">
        <v>0</v>
      </c>
      <c r="EF293" s="409">
        <v>0</v>
      </c>
      <c r="EG293" s="409">
        <v>0</v>
      </c>
      <c r="EH293" s="409">
        <v>0</v>
      </c>
      <c r="EI293" s="409">
        <v>0</v>
      </c>
      <c r="EJ293" s="409">
        <v>0</v>
      </c>
      <c r="EK293" s="409">
        <v>0</v>
      </c>
      <c r="EL293" s="409">
        <v>0</v>
      </c>
      <c r="EM293" s="409">
        <v>0</v>
      </c>
      <c r="EN293" s="409">
        <v>0</v>
      </c>
      <c r="EO293" s="409">
        <v>0</v>
      </c>
      <c r="EP293" s="409">
        <v>0</v>
      </c>
      <c r="EQ293" s="409">
        <v>0</v>
      </c>
      <c r="ER293" s="409">
        <v>0</v>
      </c>
      <c r="ES293" s="409">
        <v>0</v>
      </c>
      <c r="ET293" s="409">
        <v>0</v>
      </c>
      <c r="EU293" s="409">
        <v>0</v>
      </c>
      <c r="EV293" s="409">
        <v>254</v>
      </c>
      <c r="EW293" s="409">
        <v>0</v>
      </c>
      <c r="EX293" s="409">
        <v>0</v>
      </c>
      <c r="EY293" s="409">
        <v>0</v>
      </c>
      <c r="EZ293" s="409"/>
      <c r="FA293" s="409">
        <v>0</v>
      </c>
      <c r="FB293" s="409"/>
      <c r="FC293" s="409"/>
      <c r="FD293" s="409"/>
      <c r="FE293" s="409"/>
      <c r="FF293" s="409">
        <v>0</v>
      </c>
      <c r="FG293" s="409">
        <v>0</v>
      </c>
      <c r="FH293" s="409">
        <v>0</v>
      </c>
      <c r="FI293" s="409">
        <v>0</v>
      </c>
    </row>
    <row r="294" spans="1:165">
      <c r="A294" s="409">
        <v>292</v>
      </c>
      <c r="B294" s="409" t="s">
        <v>1035</v>
      </c>
      <c r="C294" s="409" t="s">
        <v>2244</v>
      </c>
      <c r="D294" s="409" t="s">
        <v>2256</v>
      </c>
      <c r="E294" s="409" t="s">
        <v>2257</v>
      </c>
      <c r="F294" s="409" t="s">
        <v>2258</v>
      </c>
      <c r="G294" s="409" t="s">
        <v>1323</v>
      </c>
      <c r="H294" s="409" t="s">
        <v>1323</v>
      </c>
      <c r="I294" s="409" t="s">
        <v>1323</v>
      </c>
      <c r="J294" s="409" t="s">
        <v>2245</v>
      </c>
      <c r="K294" s="835">
        <v>44593</v>
      </c>
      <c r="L294" s="409">
        <v>0</v>
      </c>
      <c r="M294" s="409">
        <v>0</v>
      </c>
      <c r="N294" s="409">
        <v>114.63</v>
      </c>
      <c r="O294" s="409">
        <v>114.63</v>
      </c>
      <c r="P294" s="409">
        <v>114.63</v>
      </c>
      <c r="Q294" s="409">
        <v>114.63</v>
      </c>
      <c r="R294" s="409"/>
      <c r="S294" s="409">
        <v>328.35</v>
      </c>
      <c r="T294" s="409">
        <v>133.86000000000001</v>
      </c>
      <c r="U294" s="409"/>
      <c r="V294" s="409">
        <v>52983.132300000005</v>
      </c>
      <c r="W294" s="409">
        <v>52983.132300000005</v>
      </c>
      <c r="X294" s="409">
        <v>47995.580999999998</v>
      </c>
      <c r="Y294" s="409">
        <v>0</v>
      </c>
      <c r="Z294" s="409">
        <v>1568.8161620095827</v>
      </c>
      <c r="AA294" s="409">
        <v>0</v>
      </c>
      <c r="AB294" s="409">
        <v>0</v>
      </c>
      <c r="AC294" s="409">
        <v>0</v>
      </c>
      <c r="AD294" s="409">
        <v>7388.3604249678774</v>
      </c>
      <c r="AE294" s="409">
        <v>25851.493851461193</v>
      </c>
      <c r="AF294" s="409">
        <v>15344.713929362522</v>
      </c>
      <c r="AG294" s="409">
        <v>0</v>
      </c>
      <c r="AH294" s="409">
        <v>0</v>
      </c>
      <c r="AI294" s="409">
        <v>0</v>
      </c>
      <c r="AJ294" s="409">
        <v>0</v>
      </c>
      <c r="AK294" s="409">
        <v>0</v>
      </c>
      <c r="AL294" s="409">
        <v>640.49511972440064</v>
      </c>
      <c r="AM294" s="409"/>
      <c r="AN294" s="409">
        <v>108.24273399094113</v>
      </c>
      <c r="AO294" s="409">
        <v>0</v>
      </c>
      <c r="AP294" s="409">
        <v>0</v>
      </c>
      <c r="AQ294" s="409">
        <v>0</v>
      </c>
      <c r="AR294" s="409">
        <v>0</v>
      </c>
      <c r="AS294" s="409">
        <v>0</v>
      </c>
      <c r="AT294" s="409">
        <v>0</v>
      </c>
      <c r="AU294" s="409">
        <v>0</v>
      </c>
      <c r="AV294" s="409">
        <v>0</v>
      </c>
      <c r="AW294" s="409">
        <v>0</v>
      </c>
      <c r="AX294" s="409">
        <v>0</v>
      </c>
      <c r="AY294" s="409">
        <v>0</v>
      </c>
      <c r="AZ294" s="409">
        <v>0</v>
      </c>
      <c r="BA294" s="409"/>
      <c r="BB294" s="409">
        <v>0</v>
      </c>
      <c r="BC294" s="409">
        <v>0</v>
      </c>
      <c r="BD294" s="409">
        <v>0</v>
      </c>
      <c r="BE294" s="409">
        <v>0</v>
      </c>
      <c r="BF294" s="409">
        <v>0</v>
      </c>
      <c r="BG294" s="409">
        <v>2081.753147117628</v>
      </c>
      <c r="BH294" s="409">
        <v>0</v>
      </c>
      <c r="BI294" s="409">
        <v>0</v>
      </c>
      <c r="BJ294" s="409">
        <v>0</v>
      </c>
      <c r="BK294" s="409">
        <v>0</v>
      </c>
      <c r="BL294" s="409">
        <v>5</v>
      </c>
      <c r="BM294" s="409"/>
      <c r="BN294" s="409"/>
      <c r="BO294" s="409"/>
      <c r="BP294" s="409"/>
      <c r="BQ294" s="409"/>
      <c r="BR294" s="409"/>
      <c r="BS294" s="409"/>
      <c r="BT294" s="409"/>
      <c r="BU294" s="409"/>
      <c r="BV294" s="409">
        <v>17426.467076480149</v>
      </c>
      <c r="BW294" s="409"/>
      <c r="BX294" s="409"/>
      <c r="BY294" s="409"/>
      <c r="BZ294" s="409"/>
      <c r="CA294" s="409"/>
      <c r="CB294" s="409"/>
      <c r="CC294" s="409"/>
      <c r="CD294" s="409"/>
      <c r="CE294" s="409"/>
      <c r="CF294" s="409"/>
      <c r="CG294" s="409"/>
      <c r="CH294" s="409"/>
      <c r="CI294" s="409">
        <v>47995.580999999998</v>
      </c>
      <c r="CJ294" s="409">
        <v>-4987.5813000000126</v>
      </c>
      <c r="CK294" s="409"/>
      <c r="CL294" s="409"/>
      <c r="CM294" s="409"/>
      <c r="CN294" s="409"/>
      <c r="CO294" s="409">
        <v>-5521.7271000000019</v>
      </c>
      <c r="CP294" s="409">
        <v>534.17579999999964</v>
      </c>
      <c r="CQ294" s="409">
        <v>29</v>
      </c>
      <c r="CR294" s="409">
        <v>937.7424824536829</v>
      </c>
      <c r="CS294" s="409">
        <v>0</v>
      </c>
      <c r="CT294" s="409">
        <v>0</v>
      </c>
      <c r="CU294" s="409">
        <v>0</v>
      </c>
      <c r="CV294" s="409">
        <v>0</v>
      </c>
      <c r="CW294" s="409">
        <v>0</v>
      </c>
      <c r="CX294" s="409">
        <v>0</v>
      </c>
      <c r="CY294" s="409">
        <v>0</v>
      </c>
      <c r="CZ294" s="409">
        <v>276.99420009873029</v>
      </c>
      <c r="DA294" s="409">
        <v>0</v>
      </c>
      <c r="DB294" s="409">
        <v>0</v>
      </c>
      <c r="DC294" s="409">
        <v>702.93991424967135</v>
      </c>
      <c r="DD294" s="409">
        <v>0</v>
      </c>
      <c r="DE294" s="409">
        <v>0</v>
      </c>
      <c r="DF294" s="409">
        <v>0</v>
      </c>
      <c r="DG294" s="409">
        <v>95.364917551412418</v>
      </c>
      <c r="DH294" s="409">
        <v>0</v>
      </c>
      <c r="DI294" s="409">
        <v>-11.441189144185046</v>
      </c>
      <c r="DJ294" s="409"/>
      <c r="DK294" s="409">
        <v>0</v>
      </c>
      <c r="DL294" s="409">
        <v>0</v>
      </c>
      <c r="DM294" s="409">
        <v>0</v>
      </c>
      <c r="DN294" s="409">
        <v>0</v>
      </c>
      <c r="DO294" s="409">
        <v>-3.5925065218351619</v>
      </c>
      <c r="DP294" s="409">
        <v>-6.3758591925587353</v>
      </c>
      <c r="DQ294" s="409">
        <v>0</v>
      </c>
      <c r="DR294" s="409">
        <v>-116.14699458755548</v>
      </c>
      <c r="DS294" s="409"/>
      <c r="DT294" s="409"/>
      <c r="DU294" s="409"/>
      <c r="DV294" s="409">
        <v>25851.493851461193</v>
      </c>
      <c r="DW294" s="409">
        <v>0</v>
      </c>
      <c r="DX294" s="409">
        <v>0</v>
      </c>
      <c r="DY294" s="409">
        <v>-5521.7271000000037</v>
      </c>
      <c r="DZ294" s="409">
        <v>534.17579999999907</v>
      </c>
      <c r="EA294" s="409">
        <v>0</v>
      </c>
      <c r="EB294" s="409">
        <v>0</v>
      </c>
      <c r="EC294" s="409">
        <v>-5925.7702741658723</v>
      </c>
      <c r="ED294" s="409">
        <v>0</v>
      </c>
      <c r="EE294" s="409">
        <v>0</v>
      </c>
      <c r="EF294" s="409">
        <v>0</v>
      </c>
      <c r="EG294" s="409">
        <v>0</v>
      </c>
      <c r="EH294" s="409">
        <v>0</v>
      </c>
      <c r="EI294" s="409">
        <v>0</v>
      </c>
      <c r="EJ294" s="409">
        <v>0</v>
      </c>
      <c r="EK294" s="409">
        <v>0</v>
      </c>
      <c r="EL294" s="409">
        <v>0</v>
      </c>
      <c r="EM294" s="409">
        <v>0</v>
      </c>
      <c r="EN294" s="409">
        <v>0</v>
      </c>
      <c r="EO294" s="409">
        <v>0</v>
      </c>
      <c r="EP294" s="409">
        <v>0</v>
      </c>
      <c r="EQ294" s="409">
        <v>0</v>
      </c>
      <c r="ER294" s="409">
        <v>0</v>
      </c>
      <c r="ES294" s="409">
        <v>0</v>
      </c>
      <c r="ET294" s="409">
        <v>0</v>
      </c>
      <c r="EU294" s="409">
        <v>0</v>
      </c>
      <c r="EV294" s="409">
        <v>254</v>
      </c>
      <c r="EW294" s="409">
        <v>0</v>
      </c>
      <c r="EX294" s="409">
        <v>0</v>
      </c>
      <c r="EY294" s="409">
        <v>0</v>
      </c>
      <c r="EZ294" s="409"/>
      <c r="FA294" s="409">
        <v>0</v>
      </c>
      <c r="FB294" s="409"/>
      <c r="FC294" s="409"/>
      <c r="FD294" s="409"/>
      <c r="FE294" s="409"/>
      <c r="FF294" s="409">
        <v>0</v>
      </c>
      <c r="FG294" s="409">
        <v>0</v>
      </c>
      <c r="FH294" s="409">
        <v>0</v>
      </c>
      <c r="FI294" s="409">
        <v>0</v>
      </c>
    </row>
    <row r="295" spans="1:165">
      <c r="A295" s="409">
        <v>293</v>
      </c>
      <c r="B295" s="409" t="s">
        <v>1035</v>
      </c>
      <c r="C295" s="409" t="s">
        <v>2244</v>
      </c>
      <c r="D295" s="409" t="s">
        <v>1994</v>
      </c>
      <c r="E295" s="409" t="s">
        <v>1000</v>
      </c>
      <c r="F295" s="409" t="s">
        <v>2259</v>
      </c>
      <c r="G295" s="409" t="s">
        <v>1323</v>
      </c>
      <c r="H295" s="409" t="s">
        <v>1323</v>
      </c>
      <c r="I295" s="409" t="s">
        <v>1323</v>
      </c>
      <c r="J295" s="409" t="s">
        <v>2245</v>
      </c>
      <c r="K295" s="835">
        <v>44593</v>
      </c>
      <c r="L295" s="409">
        <v>0</v>
      </c>
      <c r="M295" s="409">
        <v>0</v>
      </c>
      <c r="N295" s="409">
        <v>56.944000000000003</v>
      </c>
      <c r="O295" s="409">
        <v>53.527360000000002</v>
      </c>
      <c r="P295" s="409">
        <v>56.944000000000003</v>
      </c>
      <c r="Q295" s="409">
        <v>53.527360000000002</v>
      </c>
      <c r="R295" s="409"/>
      <c r="S295" s="409">
        <v>597.01</v>
      </c>
      <c r="T295" s="409">
        <v>243.39</v>
      </c>
      <c r="U295" s="409"/>
      <c r="V295" s="409">
        <v>47855.7376</v>
      </c>
      <c r="W295" s="409">
        <v>47855.7376</v>
      </c>
      <c r="X295" s="409">
        <v>43350.328320000001</v>
      </c>
      <c r="Y295" s="409">
        <v>0</v>
      </c>
      <c r="Z295" s="409">
        <v>1416.9647407782122</v>
      </c>
      <c r="AA295" s="409">
        <v>0</v>
      </c>
      <c r="AB295" s="409">
        <v>0</v>
      </c>
      <c r="AC295" s="409">
        <v>0</v>
      </c>
      <c r="AD295" s="409">
        <v>6673.2141520841096</v>
      </c>
      <c r="AE295" s="409">
        <v>23349.233754095843</v>
      </c>
      <c r="AF295" s="409">
        <v>13859.443267962835</v>
      </c>
      <c r="AG295" s="409">
        <v>0</v>
      </c>
      <c r="AH295" s="409">
        <v>0</v>
      </c>
      <c r="AI295" s="409">
        <v>0</v>
      </c>
      <c r="AJ295" s="409">
        <v>0</v>
      </c>
      <c r="AK295" s="409">
        <v>0</v>
      </c>
      <c r="AL295" s="409">
        <v>578.49926796231784</v>
      </c>
      <c r="AM295" s="409"/>
      <c r="AN295" s="409">
        <v>97.765526149431594</v>
      </c>
      <c r="AO295" s="409">
        <v>0</v>
      </c>
      <c r="AP295" s="409">
        <v>0</v>
      </c>
      <c r="AQ295" s="409">
        <v>0</v>
      </c>
      <c r="AR295" s="409">
        <v>0</v>
      </c>
      <c r="AS295" s="409">
        <v>0</v>
      </c>
      <c r="AT295" s="409">
        <v>0</v>
      </c>
      <c r="AU295" s="409">
        <v>0</v>
      </c>
      <c r="AV295" s="409">
        <v>0</v>
      </c>
      <c r="AW295" s="409">
        <v>0</v>
      </c>
      <c r="AX295" s="409">
        <v>0</v>
      </c>
      <c r="AY295" s="409">
        <v>0</v>
      </c>
      <c r="AZ295" s="409">
        <v>0</v>
      </c>
      <c r="BA295" s="409"/>
      <c r="BB295" s="409">
        <v>0</v>
      </c>
      <c r="BC295" s="409">
        <v>0</v>
      </c>
      <c r="BD295" s="409">
        <v>0</v>
      </c>
      <c r="BE295" s="409">
        <v>0</v>
      </c>
      <c r="BF295" s="409">
        <v>0</v>
      </c>
      <c r="BG295" s="409">
        <v>1880.252689831568</v>
      </c>
      <c r="BH295" s="409">
        <v>0</v>
      </c>
      <c r="BI295" s="409">
        <v>0</v>
      </c>
      <c r="BJ295" s="409">
        <v>0</v>
      </c>
      <c r="BK295" s="409">
        <v>0</v>
      </c>
      <c r="BL295" s="409">
        <v>9</v>
      </c>
      <c r="BM295" s="409"/>
      <c r="BN295" s="409"/>
      <c r="BO295" s="409"/>
      <c r="BP295" s="409"/>
      <c r="BQ295" s="409">
        <v>2601.0196992000006</v>
      </c>
      <c r="BR295" s="409"/>
      <c r="BS295" s="409"/>
      <c r="BT295" s="409"/>
      <c r="BU295" s="409"/>
      <c r="BV295" s="409">
        <v>15739.695957794404</v>
      </c>
      <c r="BW295" s="409"/>
      <c r="BX295" s="409"/>
      <c r="BY295" s="409"/>
      <c r="BZ295" s="409"/>
      <c r="CA295" s="409"/>
      <c r="CB295" s="409"/>
      <c r="CC295" s="409"/>
      <c r="CD295" s="409"/>
      <c r="CE295" s="409"/>
      <c r="CF295" s="409"/>
      <c r="CG295" s="409"/>
      <c r="CH295" s="409"/>
      <c r="CI295" s="409">
        <v>40751.318400000004</v>
      </c>
      <c r="CJ295" s="409">
        <v>-4233.1049439999988</v>
      </c>
      <c r="CK295" s="409"/>
      <c r="CL295" s="409"/>
      <c r="CM295" s="409"/>
      <c r="CN295" s="409"/>
      <c r="CO295" s="409">
        <v>-4987.1555199999993</v>
      </c>
      <c r="CP295" s="409">
        <v>481.74624000000045</v>
      </c>
      <c r="CQ295" s="409">
        <v>29</v>
      </c>
      <c r="CR295" s="409">
        <v>846.9749775299897</v>
      </c>
      <c r="CS295" s="409">
        <v>0</v>
      </c>
      <c r="CT295" s="409">
        <v>0</v>
      </c>
      <c r="CU295" s="409">
        <v>0</v>
      </c>
      <c r="CV295" s="409">
        <v>0</v>
      </c>
      <c r="CW295" s="409">
        <v>0</v>
      </c>
      <c r="CX295" s="409">
        <v>0</v>
      </c>
      <c r="CY295" s="409">
        <v>0</v>
      </c>
      <c r="CZ295" s="409">
        <v>250.18292419758745</v>
      </c>
      <c r="DA295" s="409">
        <v>0</v>
      </c>
      <c r="DB295" s="409">
        <v>0</v>
      </c>
      <c r="DC295" s="409">
        <v>634.8998037485635</v>
      </c>
      <c r="DD295" s="409">
        <v>0</v>
      </c>
      <c r="DE295" s="409">
        <v>0</v>
      </c>
      <c r="DF295" s="409">
        <v>0</v>
      </c>
      <c r="DG295" s="409">
        <v>86.134200392537878</v>
      </c>
      <c r="DH295" s="409">
        <v>0</v>
      </c>
      <c r="DI295" s="409">
        <v>-10.333754841686186</v>
      </c>
      <c r="DJ295" s="409"/>
      <c r="DK295" s="409">
        <v>0</v>
      </c>
      <c r="DL295" s="409">
        <v>0</v>
      </c>
      <c r="DM295" s="409">
        <v>0</v>
      </c>
      <c r="DN295" s="409">
        <v>0</v>
      </c>
      <c r="DO295" s="409">
        <v>-3.2447747516438312</v>
      </c>
      <c r="DP295" s="409">
        <v>-5.7587165958626514</v>
      </c>
      <c r="DQ295" s="409">
        <v>0</v>
      </c>
      <c r="DR295" s="409">
        <v>-104.9047046195066</v>
      </c>
      <c r="DS295" s="409"/>
      <c r="DT295" s="409"/>
      <c r="DU295" s="409"/>
      <c r="DV295" s="409">
        <v>23349.233754095843</v>
      </c>
      <c r="DW295" s="409">
        <v>0</v>
      </c>
      <c r="DX295" s="409">
        <v>0</v>
      </c>
      <c r="DY295" s="409">
        <v>-4987.1555199999966</v>
      </c>
      <c r="DZ295" s="409">
        <v>481.7462400000004</v>
      </c>
      <c r="EA295" s="409">
        <v>0</v>
      </c>
      <c r="EB295" s="409">
        <v>0</v>
      </c>
      <c r="EC295" s="409">
        <v>-5352.1934206038095</v>
      </c>
      <c r="ED295" s="409">
        <v>0</v>
      </c>
      <c r="EE295" s="409">
        <v>0</v>
      </c>
      <c r="EF295" s="409">
        <v>0</v>
      </c>
      <c r="EG295" s="409">
        <v>0</v>
      </c>
      <c r="EH295" s="409">
        <v>0</v>
      </c>
      <c r="EI295" s="409">
        <v>0</v>
      </c>
      <c r="EJ295" s="409">
        <v>0</v>
      </c>
      <c r="EK295" s="409">
        <v>0</v>
      </c>
      <c r="EL295" s="409">
        <v>0</v>
      </c>
      <c r="EM295" s="409">
        <v>0</v>
      </c>
      <c r="EN295" s="409">
        <v>0</v>
      </c>
      <c r="EO295" s="409">
        <v>0</v>
      </c>
      <c r="EP295" s="409">
        <v>0</v>
      </c>
      <c r="EQ295" s="409">
        <v>0</v>
      </c>
      <c r="ER295" s="409">
        <v>0</v>
      </c>
      <c r="ES295" s="409">
        <v>0</v>
      </c>
      <c r="ET295" s="409">
        <v>0</v>
      </c>
      <c r="EU295" s="409">
        <v>0</v>
      </c>
      <c r="EV295" s="409">
        <v>254</v>
      </c>
      <c r="EW295" s="409">
        <v>0</v>
      </c>
      <c r="EX295" s="409">
        <v>0</v>
      </c>
      <c r="EY295" s="409">
        <v>0</v>
      </c>
      <c r="EZ295" s="409"/>
      <c r="FA295" s="409">
        <v>0</v>
      </c>
      <c r="FB295" s="409"/>
      <c r="FC295" s="409"/>
      <c r="FD295" s="409"/>
      <c r="FE295" s="409"/>
      <c r="FF295" s="409">
        <v>0</v>
      </c>
      <c r="FG295" s="409">
        <v>0</v>
      </c>
      <c r="FH295" s="409">
        <v>0</v>
      </c>
      <c r="FI295" s="409">
        <v>0</v>
      </c>
    </row>
    <row r="296" spans="1:165">
      <c r="A296" s="409">
        <v>294</v>
      </c>
      <c r="B296" s="409" t="s">
        <v>1035</v>
      </c>
      <c r="C296" s="409" t="s">
        <v>2244</v>
      </c>
      <c r="D296" s="409" t="s">
        <v>1994</v>
      </c>
      <c r="E296" s="409" t="s">
        <v>2260</v>
      </c>
      <c r="F296" s="409" t="s">
        <v>1323</v>
      </c>
      <c r="G296" s="409" t="s">
        <v>1323</v>
      </c>
      <c r="H296" s="409" t="s">
        <v>1323</v>
      </c>
      <c r="I296" s="409" t="s">
        <v>1323</v>
      </c>
      <c r="J296" s="409" t="s">
        <v>2245</v>
      </c>
      <c r="K296" s="835">
        <v>44593</v>
      </c>
      <c r="L296" s="409">
        <v>0</v>
      </c>
      <c r="M296" s="409">
        <v>0</v>
      </c>
      <c r="N296" s="409">
        <v>3.6960000000000002</v>
      </c>
      <c r="O296" s="409">
        <v>3.6960000000000002</v>
      </c>
      <c r="P296" s="409">
        <v>3.6960000000000002</v>
      </c>
      <c r="Q296" s="409">
        <v>3.6960000000000002</v>
      </c>
      <c r="R296" s="409"/>
      <c r="S296" s="409">
        <v>597.01</v>
      </c>
      <c r="T296" s="409">
        <v>243.39</v>
      </c>
      <c r="U296" s="409"/>
      <c r="V296" s="409">
        <v>3106.1184000000003</v>
      </c>
      <c r="W296" s="409">
        <v>3106.1184000000003</v>
      </c>
      <c r="X296" s="409">
        <v>2813.6908800000001</v>
      </c>
      <c r="Y296" s="409">
        <v>0</v>
      </c>
      <c r="Z296" s="409">
        <v>91.969332711370342</v>
      </c>
      <c r="AA296" s="409">
        <v>0</v>
      </c>
      <c r="AB296" s="409">
        <v>0</v>
      </c>
      <c r="AC296" s="409">
        <v>0</v>
      </c>
      <c r="AD296" s="409">
        <v>433.13078649379867</v>
      </c>
      <c r="AE296" s="409">
        <v>1515.5023875235011</v>
      </c>
      <c r="AF296" s="409">
        <v>899.55925678544963</v>
      </c>
      <c r="AG296" s="409">
        <v>0</v>
      </c>
      <c r="AH296" s="409">
        <v>0</v>
      </c>
      <c r="AI296" s="409">
        <v>0</v>
      </c>
      <c r="AJ296" s="409">
        <v>0</v>
      </c>
      <c r="AK296" s="409">
        <v>0</v>
      </c>
      <c r="AL296" s="409">
        <v>37.547999690726449</v>
      </c>
      <c r="AM296" s="409"/>
      <c r="AN296" s="409">
        <v>6.3455567689010115</v>
      </c>
      <c r="AO296" s="409">
        <v>0</v>
      </c>
      <c r="AP296" s="409">
        <v>0</v>
      </c>
      <c r="AQ296" s="409">
        <v>0</v>
      </c>
      <c r="AR296" s="409">
        <v>0</v>
      </c>
      <c r="AS296" s="409">
        <v>0</v>
      </c>
      <c r="AT296" s="409">
        <v>0</v>
      </c>
      <c r="AU296" s="409">
        <v>0</v>
      </c>
      <c r="AV296" s="409">
        <v>0</v>
      </c>
      <c r="AW296" s="409">
        <v>0</v>
      </c>
      <c r="AX296" s="409">
        <v>0</v>
      </c>
      <c r="AY296" s="409">
        <v>0</v>
      </c>
      <c r="AZ296" s="409">
        <v>0</v>
      </c>
      <c r="BA296" s="409"/>
      <c r="BB296" s="409">
        <v>0</v>
      </c>
      <c r="BC296" s="409">
        <v>0</v>
      </c>
      <c r="BD296" s="409">
        <v>0</v>
      </c>
      <c r="BE296" s="409">
        <v>0</v>
      </c>
      <c r="BF296" s="409">
        <v>0</v>
      </c>
      <c r="BG296" s="409">
        <v>122.03944123379944</v>
      </c>
      <c r="BH296" s="409">
        <v>0</v>
      </c>
      <c r="BI296" s="409">
        <v>0</v>
      </c>
      <c r="BJ296" s="409">
        <v>0</v>
      </c>
      <c r="BK296" s="409">
        <v>1112.8499999999999</v>
      </c>
      <c r="BL296" s="409">
        <v>3</v>
      </c>
      <c r="BM296" s="409"/>
      <c r="BN296" s="409"/>
      <c r="BO296" s="409"/>
      <c r="BP296" s="409"/>
      <c r="BQ296" s="409"/>
      <c r="BR296" s="409"/>
      <c r="BS296" s="409"/>
      <c r="BT296" s="409"/>
      <c r="BU296" s="409"/>
      <c r="BV296" s="409">
        <v>1021.598698019249</v>
      </c>
      <c r="BW296" s="409"/>
      <c r="BX296" s="409"/>
      <c r="BY296" s="409"/>
      <c r="BZ296" s="409"/>
      <c r="CA296" s="409"/>
      <c r="CB296" s="409"/>
      <c r="CC296" s="409"/>
      <c r="CD296" s="409"/>
      <c r="CE296" s="409"/>
      <c r="CF296" s="409"/>
      <c r="CG296" s="409"/>
      <c r="CH296" s="409"/>
      <c r="CI296" s="409">
        <v>2816.7359999999999</v>
      </c>
      <c r="CJ296" s="409">
        <v>-289.41240000000107</v>
      </c>
      <c r="CK296" s="409"/>
      <c r="CL296" s="409"/>
      <c r="CM296" s="409"/>
      <c r="CN296" s="409"/>
      <c r="CO296" s="409">
        <v>-323.69567999999998</v>
      </c>
      <c r="CP296" s="409">
        <v>31.26816000000003</v>
      </c>
      <c r="CQ296" s="409">
        <v>29</v>
      </c>
      <c r="CR296" s="409">
        <v>54.973649848111108</v>
      </c>
      <c r="CS296" s="409">
        <v>0</v>
      </c>
      <c r="CT296" s="409">
        <v>0</v>
      </c>
      <c r="CU296" s="409">
        <v>0</v>
      </c>
      <c r="CV296" s="409">
        <v>0</v>
      </c>
      <c r="CW296" s="409">
        <v>0</v>
      </c>
      <c r="CX296" s="409">
        <v>0</v>
      </c>
      <c r="CY296" s="409">
        <v>0</v>
      </c>
      <c r="CZ296" s="409">
        <v>16.2383409636534</v>
      </c>
      <c r="DA296" s="409">
        <v>0</v>
      </c>
      <c r="DB296" s="409">
        <v>0</v>
      </c>
      <c r="DC296" s="409">
        <v>41.208725671794923</v>
      </c>
      <c r="DD296" s="409">
        <v>0</v>
      </c>
      <c r="DE296" s="409">
        <v>0</v>
      </c>
      <c r="DF296" s="409">
        <v>0</v>
      </c>
      <c r="DG296" s="409">
        <v>5.5906154230616067</v>
      </c>
      <c r="DH296" s="409">
        <v>0</v>
      </c>
      <c r="DI296" s="409">
        <v>-0.67072137354018935</v>
      </c>
      <c r="DJ296" s="409"/>
      <c r="DK296" s="409">
        <v>0</v>
      </c>
      <c r="DL296" s="409">
        <v>0</v>
      </c>
      <c r="DM296" s="409">
        <v>0</v>
      </c>
      <c r="DN296" s="409">
        <v>0</v>
      </c>
      <c r="DO296" s="409">
        <v>-0.21060493611400233</v>
      </c>
      <c r="DP296" s="409">
        <v>-0.37377452476658402</v>
      </c>
      <c r="DQ296" s="409">
        <v>0</v>
      </c>
      <c r="DR296" s="409">
        <v>-6.8089313759780916</v>
      </c>
      <c r="DS296" s="409"/>
      <c r="DT296" s="409"/>
      <c r="DU296" s="409"/>
      <c r="DV296" s="409">
        <v>1515.5023875235011</v>
      </c>
      <c r="DW296" s="409">
        <v>0</v>
      </c>
      <c r="DX296" s="409">
        <v>0</v>
      </c>
      <c r="DY296" s="409">
        <v>-323.69568000000004</v>
      </c>
      <c r="DZ296" s="409">
        <v>31.26816000000008</v>
      </c>
      <c r="EA296" s="409">
        <v>0</v>
      </c>
      <c r="EB296" s="409">
        <v>0</v>
      </c>
      <c r="EC296" s="409">
        <v>-347.38878341092459</v>
      </c>
      <c r="ED296" s="409">
        <v>0</v>
      </c>
      <c r="EE296" s="409">
        <v>0</v>
      </c>
      <c r="EF296" s="409">
        <v>0</v>
      </c>
      <c r="EG296" s="409">
        <v>0</v>
      </c>
      <c r="EH296" s="409">
        <v>0</v>
      </c>
      <c r="EI296" s="409">
        <v>0</v>
      </c>
      <c r="EJ296" s="409">
        <v>0</v>
      </c>
      <c r="EK296" s="409">
        <v>0</v>
      </c>
      <c r="EL296" s="409">
        <v>0</v>
      </c>
      <c r="EM296" s="409">
        <v>0</v>
      </c>
      <c r="EN296" s="409">
        <v>0</v>
      </c>
      <c r="EO296" s="409">
        <v>0</v>
      </c>
      <c r="EP296" s="409">
        <v>0</v>
      </c>
      <c r="EQ296" s="409">
        <v>0</v>
      </c>
      <c r="ER296" s="409">
        <v>0</v>
      </c>
      <c r="ES296" s="409">
        <v>0</v>
      </c>
      <c r="ET296" s="409">
        <v>0</v>
      </c>
      <c r="EU296" s="409">
        <v>0</v>
      </c>
      <c r="EV296" s="409">
        <v>254</v>
      </c>
      <c r="EW296" s="409">
        <v>0</v>
      </c>
      <c r="EX296" s="409">
        <v>0</v>
      </c>
      <c r="EY296" s="409">
        <v>0</v>
      </c>
      <c r="EZ296" s="409"/>
      <c r="FA296" s="409">
        <v>0</v>
      </c>
      <c r="FB296" s="409"/>
      <c r="FC296" s="409"/>
      <c r="FD296" s="409"/>
      <c r="FE296" s="409"/>
      <c r="FF296" s="409">
        <v>0</v>
      </c>
      <c r="FG296" s="409">
        <v>0</v>
      </c>
      <c r="FH296" s="409">
        <v>0</v>
      </c>
      <c r="FI296" s="409">
        <v>0</v>
      </c>
    </row>
    <row r="297" spans="1:165">
      <c r="A297" s="409">
        <v>295</v>
      </c>
      <c r="B297" s="409" t="s">
        <v>1035</v>
      </c>
      <c r="C297" s="409" t="s">
        <v>2244</v>
      </c>
      <c r="D297" s="409" t="s">
        <v>2254</v>
      </c>
      <c r="E297" s="409" t="s">
        <v>973</v>
      </c>
      <c r="F297" s="409" t="s">
        <v>2261</v>
      </c>
      <c r="G297" s="409" t="s">
        <v>2262</v>
      </c>
      <c r="H297" s="409" t="s">
        <v>1323</v>
      </c>
      <c r="I297" s="409" t="s">
        <v>1323</v>
      </c>
      <c r="J297" s="409" t="s">
        <v>2245</v>
      </c>
      <c r="K297" s="835">
        <v>44593</v>
      </c>
      <c r="L297" s="409">
        <v>0</v>
      </c>
      <c r="M297" s="409">
        <v>0</v>
      </c>
      <c r="N297" s="409">
        <v>0</v>
      </c>
      <c r="O297" s="409">
        <v>0</v>
      </c>
      <c r="P297" s="409">
        <v>0</v>
      </c>
      <c r="Q297" s="409">
        <v>0</v>
      </c>
      <c r="R297" s="409"/>
      <c r="S297" s="409"/>
      <c r="T297" s="409"/>
      <c r="U297" s="409"/>
      <c r="V297" s="409"/>
      <c r="W297" s="409"/>
      <c r="X297" s="409"/>
      <c r="Y297" s="409"/>
      <c r="Z297" s="409"/>
      <c r="AA297" s="409">
        <v>0</v>
      </c>
      <c r="AB297" s="409"/>
      <c r="AC297" s="409"/>
      <c r="AD297" s="409"/>
      <c r="AE297" s="409"/>
      <c r="AF297" s="409"/>
      <c r="AG297" s="409"/>
      <c r="AH297" s="409"/>
      <c r="AI297" s="409"/>
      <c r="AJ297" s="409"/>
      <c r="AK297" s="409"/>
      <c r="AL297" s="409"/>
      <c r="AM297" s="409"/>
      <c r="AN297" s="409"/>
      <c r="AO297" s="409"/>
      <c r="AP297" s="409"/>
      <c r="AQ297" s="409"/>
      <c r="AR297" s="409"/>
      <c r="AS297" s="409"/>
      <c r="AT297" s="409"/>
      <c r="AU297" s="409"/>
      <c r="AV297" s="409"/>
      <c r="AW297" s="409"/>
      <c r="AX297" s="409"/>
      <c r="AY297" s="409"/>
      <c r="AZ297" s="409">
        <v>0</v>
      </c>
      <c r="BA297" s="409"/>
      <c r="BB297" s="409"/>
      <c r="BC297" s="409"/>
      <c r="BD297" s="409"/>
      <c r="BE297" s="409"/>
      <c r="BF297" s="409"/>
      <c r="BG297" s="409"/>
      <c r="BH297" s="409"/>
      <c r="BI297" s="409">
        <v>0</v>
      </c>
      <c r="BJ297" s="409">
        <v>0</v>
      </c>
      <c r="BK297" s="409">
        <v>0</v>
      </c>
      <c r="BL297" s="409">
        <v>8</v>
      </c>
      <c r="BM297" s="409"/>
      <c r="BN297" s="409"/>
      <c r="BO297" s="409"/>
      <c r="BP297" s="409"/>
      <c r="BQ297" s="409"/>
      <c r="BR297" s="409"/>
      <c r="BS297" s="409"/>
      <c r="BT297" s="409"/>
      <c r="BU297" s="409"/>
      <c r="BV297" s="409"/>
      <c r="BW297" s="409"/>
      <c r="BX297" s="409"/>
      <c r="BY297" s="409"/>
      <c r="BZ297" s="409"/>
      <c r="CA297" s="409"/>
      <c r="CB297" s="409"/>
      <c r="CC297" s="409"/>
      <c r="CD297" s="409"/>
      <c r="CE297" s="409"/>
      <c r="CF297" s="409"/>
      <c r="CG297" s="409"/>
      <c r="CH297" s="409"/>
      <c r="CI297" s="409"/>
      <c r="CJ297" s="409">
        <v>-0.03</v>
      </c>
      <c r="CK297" s="409"/>
      <c r="CL297" s="409"/>
      <c r="CM297" s="409"/>
      <c r="CN297" s="409"/>
      <c r="CO297" s="409">
        <v>0</v>
      </c>
      <c r="CP297" s="409">
        <v>0</v>
      </c>
      <c r="CQ297" s="409">
        <v>29</v>
      </c>
      <c r="CR297" s="409"/>
      <c r="CS297" s="409"/>
      <c r="CT297" s="409"/>
      <c r="CU297" s="409"/>
      <c r="CV297" s="409"/>
      <c r="CW297" s="409"/>
      <c r="CX297" s="409"/>
      <c r="CY297" s="409"/>
      <c r="CZ297" s="409"/>
      <c r="DA297" s="409"/>
      <c r="DB297" s="409"/>
      <c r="DC297" s="409"/>
      <c r="DD297" s="409"/>
      <c r="DE297" s="409"/>
      <c r="DF297" s="409"/>
      <c r="DG297" s="409"/>
      <c r="DH297" s="409"/>
      <c r="DI297" s="409"/>
      <c r="DJ297" s="409"/>
      <c r="DK297" s="409">
        <v>0</v>
      </c>
      <c r="DL297" s="409"/>
      <c r="DM297" s="409"/>
      <c r="DN297" s="409"/>
      <c r="DO297" s="409"/>
      <c r="DP297" s="409"/>
      <c r="DQ297" s="409"/>
      <c r="DR297" s="409"/>
      <c r="DS297" s="409"/>
      <c r="DT297" s="409"/>
      <c r="DU297" s="409"/>
      <c r="DV297" s="409"/>
      <c r="DW297" s="409"/>
      <c r="DX297" s="409"/>
      <c r="DY297" s="409"/>
      <c r="DZ297" s="409"/>
      <c r="EA297" s="409"/>
      <c r="EB297" s="409"/>
      <c r="EC297" s="409"/>
      <c r="ED297" s="409"/>
      <c r="EE297" s="409"/>
      <c r="EF297" s="409"/>
      <c r="EG297" s="409"/>
      <c r="EH297" s="409"/>
      <c r="EI297" s="409"/>
      <c r="EJ297" s="409"/>
      <c r="EK297" s="409"/>
      <c r="EL297" s="409"/>
      <c r="EM297" s="409"/>
      <c r="EN297" s="409"/>
      <c r="EO297" s="409"/>
      <c r="EP297" s="409"/>
      <c r="EQ297" s="409"/>
      <c r="ER297" s="409"/>
      <c r="ES297" s="409"/>
      <c r="ET297" s="409"/>
      <c r="EU297" s="409"/>
      <c r="EV297" s="409">
        <v>254</v>
      </c>
      <c r="EW297" s="409"/>
      <c r="EX297" s="409"/>
      <c r="EY297" s="409"/>
      <c r="EZ297" s="409"/>
      <c r="FA297" s="409">
        <v>0</v>
      </c>
      <c r="FB297" s="409"/>
      <c r="FC297" s="409"/>
      <c r="FD297" s="409"/>
      <c r="FE297" s="409"/>
      <c r="FF297" s="409">
        <v>0</v>
      </c>
      <c r="FG297" s="409">
        <v>0</v>
      </c>
      <c r="FH297" s="409">
        <v>0</v>
      </c>
      <c r="FI297" s="409">
        <v>0</v>
      </c>
    </row>
    <row r="298" spans="1:165">
      <c r="A298" s="409">
        <v>296</v>
      </c>
      <c r="B298" s="409" t="s">
        <v>1035</v>
      </c>
      <c r="C298" s="409" t="s">
        <v>2244</v>
      </c>
      <c r="D298" s="409" t="s">
        <v>2254</v>
      </c>
      <c r="E298" s="409" t="s">
        <v>973</v>
      </c>
      <c r="F298" s="409" t="s">
        <v>2261</v>
      </c>
      <c r="G298" s="409" t="s">
        <v>2262</v>
      </c>
      <c r="H298" s="409" t="s">
        <v>1323</v>
      </c>
      <c r="I298" s="409" t="s">
        <v>1323</v>
      </c>
      <c r="J298" s="409" t="s">
        <v>2245</v>
      </c>
      <c r="K298" s="835">
        <v>44593</v>
      </c>
      <c r="L298" s="409">
        <v>0</v>
      </c>
      <c r="M298" s="409">
        <v>0</v>
      </c>
      <c r="N298" s="409">
        <v>7.7309999999999999</v>
      </c>
      <c r="O298" s="409">
        <v>7.7309999999999999</v>
      </c>
      <c r="P298" s="409">
        <v>7.7309999999999999</v>
      </c>
      <c r="Q298" s="409">
        <v>7.7309999999999999</v>
      </c>
      <c r="R298" s="409"/>
      <c r="S298" s="409">
        <v>597.01</v>
      </c>
      <c r="T298" s="409">
        <v>243.39</v>
      </c>
      <c r="U298" s="409"/>
      <c r="V298" s="409">
        <v>6497.1323999999995</v>
      </c>
      <c r="W298" s="409">
        <v>6497.1323999999995</v>
      </c>
      <c r="X298" s="409">
        <v>5885.45568</v>
      </c>
      <c r="Y298" s="409">
        <v>0</v>
      </c>
      <c r="Z298" s="409">
        <v>192.37416428344264</v>
      </c>
      <c r="AA298" s="409">
        <v>0</v>
      </c>
      <c r="AB298" s="409">
        <v>0</v>
      </c>
      <c r="AC298" s="409">
        <v>0</v>
      </c>
      <c r="AD298" s="409">
        <v>905.98866622931735</v>
      </c>
      <c r="AE298" s="409">
        <v>3170.0078349416085</v>
      </c>
      <c r="AF298" s="409">
        <v>1881.6267895585256</v>
      </c>
      <c r="AG298" s="409">
        <v>0</v>
      </c>
      <c r="AH298" s="409">
        <v>0</v>
      </c>
      <c r="AI298" s="409">
        <v>0</v>
      </c>
      <c r="AJ298" s="409">
        <v>0</v>
      </c>
      <c r="AK298" s="409">
        <v>0</v>
      </c>
      <c r="AL298" s="409">
        <v>78.539931171267895</v>
      </c>
      <c r="AM298" s="409"/>
      <c r="AN298" s="409">
        <v>13.273132949235313</v>
      </c>
      <c r="AO298" s="409">
        <v>0</v>
      </c>
      <c r="AP298" s="409">
        <v>0</v>
      </c>
      <c r="AQ298" s="409">
        <v>0</v>
      </c>
      <c r="AR298" s="409">
        <v>0</v>
      </c>
      <c r="AS298" s="409">
        <v>0</v>
      </c>
      <c r="AT298" s="409">
        <v>0</v>
      </c>
      <c r="AU298" s="409">
        <v>0</v>
      </c>
      <c r="AV298" s="409">
        <v>0</v>
      </c>
      <c r="AW298" s="409">
        <v>0</v>
      </c>
      <c r="AX298" s="409">
        <v>0</v>
      </c>
      <c r="AY298" s="409">
        <v>0</v>
      </c>
      <c r="AZ298" s="409">
        <v>0</v>
      </c>
      <c r="BA298" s="409"/>
      <c r="BB298" s="409">
        <v>0</v>
      </c>
      <c r="BC298" s="409">
        <v>0</v>
      </c>
      <c r="BD298" s="409">
        <v>0</v>
      </c>
      <c r="BE298" s="409">
        <v>0</v>
      </c>
      <c r="BF298" s="409">
        <v>0</v>
      </c>
      <c r="BG298" s="409">
        <v>255.27243511323144</v>
      </c>
      <c r="BH298" s="409">
        <v>0</v>
      </c>
      <c r="BI298" s="409">
        <v>0</v>
      </c>
      <c r="BJ298" s="409">
        <v>0</v>
      </c>
      <c r="BK298" s="409">
        <v>0</v>
      </c>
      <c r="BL298" s="409">
        <v>0</v>
      </c>
      <c r="BM298" s="409"/>
      <c r="BN298" s="409"/>
      <c r="BO298" s="409"/>
      <c r="BP298" s="409"/>
      <c r="BQ298" s="409"/>
      <c r="BR298" s="409">
        <v>706.30415999999991</v>
      </c>
      <c r="BS298" s="409"/>
      <c r="BT298" s="409"/>
      <c r="BU298" s="409"/>
      <c r="BV298" s="409">
        <v>2136.8992246717571</v>
      </c>
      <c r="BW298" s="409"/>
      <c r="BX298" s="409"/>
      <c r="BY298" s="409"/>
      <c r="BZ298" s="409"/>
      <c r="CA298" s="409"/>
      <c r="CB298" s="409"/>
      <c r="CC298" s="409"/>
      <c r="CD298" s="409"/>
      <c r="CE298" s="409"/>
      <c r="CF298" s="409"/>
      <c r="CG298" s="409"/>
      <c r="CH298" s="409"/>
      <c r="CI298" s="409">
        <v>5178.481600000001</v>
      </c>
      <c r="CJ298" s="409">
        <v>-539.00944999999956</v>
      </c>
      <c r="CK298" s="409"/>
      <c r="CL298" s="409"/>
      <c r="CM298" s="409"/>
      <c r="CN298" s="409"/>
      <c r="CO298" s="409">
        <v>-677.08097999999984</v>
      </c>
      <c r="CP298" s="409">
        <v>65.404260000000065</v>
      </c>
      <c r="CQ298" s="409">
        <v>29</v>
      </c>
      <c r="CR298" s="409">
        <v>114.98952569690073</v>
      </c>
      <c r="CS298" s="409">
        <v>0</v>
      </c>
      <c r="CT298" s="409">
        <v>0</v>
      </c>
      <c r="CU298" s="409">
        <v>0</v>
      </c>
      <c r="CV298" s="409">
        <v>0</v>
      </c>
      <c r="CW298" s="409">
        <v>0</v>
      </c>
      <c r="CX298" s="409">
        <v>0</v>
      </c>
      <c r="CY298" s="409">
        <v>0</v>
      </c>
      <c r="CZ298" s="409">
        <v>33.966075213745853</v>
      </c>
      <c r="DA298" s="409">
        <v>0</v>
      </c>
      <c r="DB298" s="409">
        <v>0</v>
      </c>
      <c r="DC298" s="409">
        <v>86.197147772902099</v>
      </c>
      <c r="DD298" s="409">
        <v>0</v>
      </c>
      <c r="DE298" s="409">
        <v>0</v>
      </c>
      <c r="DF298" s="409">
        <v>0</v>
      </c>
      <c r="DG298" s="409">
        <v>11.694006449050164</v>
      </c>
      <c r="DH298" s="409">
        <v>0</v>
      </c>
      <c r="DI298" s="409">
        <v>-1.4029618341014896</v>
      </c>
      <c r="DJ298" s="409"/>
      <c r="DK298" s="409">
        <v>0</v>
      </c>
      <c r="DL298" s="409">
        <v>0</v>
      </c>
      <c r="DM298" s="409">
        <v>0</v>
      </c>
      <c r="DN298" s="409">
        <v>0</v>
      </c>
      <c r="DO298" s="409">
        <v>-0.44052672107612523</v>
      </c>
      <c r="DP298" s="409">
        <v>-0.78183194019763569</v>
      </c>
      <c r="DQ298" s="409">
        <v>0</v>
      </c>
      <c r="DR298" s="409">
        <v>-14.242383243421706</v>
      </c>
      <c r="DS298" s="409"/>
      <c r="DT298" s="409"/>
      <c r="DU298" s="409"/>
      <c r="DV298" s="409">
        <v>3170.0078349416085</v>
      </c>
      <c r="DW298" s="409">
        <v>0</v>
      </c>
      <c r="DX298" s="409">
        <v>0</v>
      </c>
      <c r="DY298" s="409">
        <v>-677.08097999999973</v>
      </c>
      <c r="DZ298" s="409">
        <v>65.404260000000022</v>
      </c>
      <c r="EA298" s="409">
        <v>0</v>
      </c>
      <c r="EB298" s="409">
        <v>0</v>
      </c>
      <c r="EC298" s="409">
        <v>-726.64033672885762</v>
      </c>
      <c r="ED298" s="409">
        <v>0</v>
      </c>
      <c r="EE298" s="409">
        <v>0</v>
      </c>
      <c r="EF298" s="409">
        <v>0</v>
      </c>
      <c r="EG298" s="409">
        <v>0</v>
      </c>
      <c r="EH298" s="409">
        <v>0</v>
      </c>
      <c r="EI298" s="409">
        <v>0</v>
      </c>
      <c r="EJ298" s="409">
        <v>0</v>
      </c>
      <c r="EK298" s="409">
        <v>0</v>
      </c>
      <c r="EL298" s="409">
        <v>0</v>
      </c>
      <c r="EM298" s="409">
        <v>0</v>
      </c>
      <c r="EN298" s="409">
        <v>0</v>
      </c>
      <c r="EO298" s="409">
        <v>0</v>
      </c>
      <c r="EP298" s="409">
        <v>0</v>
      </c>
      <c r="EQ298" s="409">
        <v>0</v>
      </c>
      <c r="ER298" s="409">
        <v>0</v>
      </c>
      <c r="ES298" s="409">
        <v>0</v>
      </c>
      <c r="ET298" s="409">
        <v>0</v>
      </c>
      <c r="EU298" s="409">
        <v>0</v>
      </c>
      <c r="EV298" s="409">
        <v>254</v>
      </c>
      <c r="EW298" s="409">
        <v>0</v>
      </c>
      <c r="EX298" s="409">
        <v>0</v>
      </c>
      <c r="EY298" s="409">
        <v>0</v>
      </c>
      <c r="EZ298" s="409"/>
      <c r="FA298" s="409">
        <v>0</v>
      </c>
      <c r="FB298" s="409"/>
      <c r="FC298" s="409"/>
      <c r="FD298" s="409"/>
      <c r="FE298" s="409"/>
      <c r="FF298" s="409">
        <v>0</v>
      </c>
      <c r="FG298" s="409">
        <v>0</v>
      </c>
      <c r="FH298" s="409">
        <v>0</v>
      </c>
      <c r="FI298" s="409">
        <v>0</v>
      </c>
    </row>
    <row r="299" spans="1:165">
      <c r="A299" s="409">
        <v>297</v>
      </c>
      <c r="B299" s="409" t="s">
        <v>1035</v>
      </c>
      <c r="C299" s="409" t="s">
        <v>2244</v>
      </c>
      <c r="D299" s="409" t="s">
        <v>2254</v>
      </c>
      <c r="E299" s="409" t="s">
        <v>973</v>
      </c>
      <c r="F299" s="409" t="s">
        <v>2261</v>
      </c>
      <c r="G299" s="409" t="s">
        <v>2263</v>
      </c>
      <c r="H299" s="409" t="s">
        <v>1323</v>
      </c>
      <c r="I299" s="409" t="s">
        <v>1323</v>
      </c>
      <c r="J299" s="409" t="s">
        <v>2245</v>
      </c>
      <c r="K299" s="835">
        <v>44593</v>
      </c>
      <c r="L299" s="409">
        <v>0</v>
      </c>
      <c r="M299" s="409">
        <v>0</v>
      </c>
      <c r="N299" s="409">
        <v>5.62</v>
      </c>
      <c r="O299" s="409">
        <v>1.5174000000000001</v>
      </c>
      <c r="P299" s="409">
        <v>5.62</v>
      </c>
      <c r="Q299" s="409">
        <v>1.5174000000000001</v>
      </c>
      <c r="R299" s="409"/>
      <c r="S299" s="409">
        <v>597.01</v>
      </c>
      <c r="T299" s="409">
        <v>243.39</v>
      </c>
      <c r="U299" s="409"/>
      <c r="V299" s="409">
        <v>4723.0479999999998</v>
      </c>
      <c r="W299" s="409">
        <v>4723.0479999999998</v>
      </c>
      <c r="X299" s="409">
        <v>4278.3935999999994</v>
      </c>
      <c r="Y299" s="409">
        <v>0</v>
      </c>
      <c r="Z299" s="409">
        <v>139.84514335441051</v>
      </c>
      <c r="AA299" s="409">
        <v>0</v>
      </c>
      <c r="AB299" s="409">
        <v>0</v>
      </c>
      <c r="AC299" s="409">
        <v>0</v>
      </c>
      <c r="AD299" s="409">
        <v>658.60254872704229</v>
      </c>
      <c r="AE299" s="409">
        <v>2304.416509167228</v>
      </c>
      <c r="AF299" s="409">
        <v>1367.8363157830699</v>
      </c>
      <c r="AG299" s="409">
        <v>0</v>
      </c>
      <c r="AH299" s="409">
        <v>0</v>
      </c>
      <c r="AI299" s="409">
        <v>0</v>
      </c>
      <c r="AJ299" s="409">
        <v>0</v>
      </c>
      <c r="AK299" s="409">
        <v>0</v>
      </c>
      <c r="AL299" s="409">
        <v>57.094090438821055</v>
      </c>
      <c r="AM299" s="409"/>
      <c r="AN299" s="409">
        <v>9.6488173812834646</v>
      </c>
      <c r="AO299" s="409">
        <v>0</v>
      </c>
      <c r="AP299" s="409">
        <v>0</v>
      </c>
      <c r="AQ299" s="409">
        <v>0</v>
      </c>
      <c r="AR299" s="409">
        <v>0</v>
      </c>
      <c r="AS299" s="409">
        <v>0</v>
      </c>
      <c r="AT299" s="409">
        <v>0</v>
      </c>
      <c r="AU299" s="409">
        <v>0</v>
      </c>
      <c r="AV299" s="409">
        <v>0</v>
      </c>
      <c r="AW299" s="409">
        <v>0</v>
      </c>
      <c r="AX299" s="409">
        <v>0</v>
      </c>
      <c r="AY299" s="409">
        <v>0</v>
      </c>
      <c r="AZ299" s="409">
        <v>0</v>
      </c>
      <c r="BA299" s="409"/>
      <c r="BB299" s="409">
        <v>0</v>
      </c>
      <c r="BC299" s="409">
        <v>0</v>
      </c>
      <c r="BD299" s="409">
        <v>0</v>
      </c>
      <c r="BE299" s="409">
        <v>0</v>
      </c>
      <c r="BF299" s="409">
        <v>0</v>
      </c>
      <c r="BG299" s="409">
        <v>185.5686308803985</v>
      </c>
      <c r="BH299" s="409">
        <v>0</v>
      </c>
      <c r="BI299" s="409">
        <v>0</v>
      </c>
      <c r="BJ299" s="409">
        <v>0</v>
      </c>
      <c r="BK299" s="409">
        <v>0</v>
      </c>
      <c r="BL299" s="409">
        <v>0</v>
      </c>
      <c r="BM299" s="409"/>
      <c r="BN299" s="409"/>
      <c r="BO299" s="409"/>
      <c r="BP299" s="409"/>
      <c r="BQ299" s="409"/>
      <c r="BR299" s="409"/>
      <c r="BS299" s="409">
        <v>3261.856992</v>
      </c>
      <c r="BT299" s="409"/>
      <c r="BU299" s="409"/>
      <c r="BV299" s="409">
        <v>1553.4049466634685</v>
      </c>
      <c r="BW299" s="409"/>
      <c r="BX299" s="409"/>
      <c r="BY299" s="409"/>
      <c r="BZ299" s="409"/>
      <c r="CA299" s="409"/>
      <c r="CB299" s="409"/>
      <c r="CC299" s="409"/>
      <c r="CD299" s="409"/>
      <c r="CE299" s="409"/>
      <c r="CF299" s="409"/>
      <c r="CG299" s="409"/>
      <c r="CH299" s="409"/>
      <c r="CI299" s="409">
        <v>1018.2783999999999</v>
      </c>
      <c r="CJ299" s="409">
        <v>-103.94477000000006</v>
      </c>
      <c r="CK299" s="409"/>
      <c r="CL299" s="409"/>
      <c r="CM299" s="409"/>
      <c r="CN299" s="409"/>
      <c r="CO299" s="409">
        <v>-492.19959999999992</v>
      </c>
      <c r="CP299" s="409">
        <v>47.545200000000044</v>
      </c>
      <c r="CQ299" s="409">
        <v>29</v>
      </c>
      <c r="CR299" s="409">
        <v>83.590885320990765</v>
      </c>
      <c r="CS299" s="409">
        <v>0</v>
      </c>
      <c r="CT299" s="409">
        <v>0</v>
      </c>
      <c r="CU299" s="409">
        <v>0</v>
      </c>
      <c r="CV299" s="409">
        <v>0</v>
      </c>
      <c r="CW299" s="409">
        <v>0</v>
      </c>
      <c r="CX299" s="409">
        <v>0</v>
      </c>
      <c r="CY299" s="409">
        <v>0</v>
      </c>
      <c r="CZ299" s="409">
        <v>24.691416725035765</v>
      </c>
      <c r="DA299" s="409">
        <v>0</v>
      </c>
      <c r="DB299" s="409">
        <v>0</v>
      </c>
      <c r="DC299" s="409">
        <v>62.660454078865541</v>
      </c>
      <c r="DD299" s="409">
        <v>0</v>
      </c>
      <c r="DE299" s="409">
        <v>0</v>
      </c>
      <c r="DF299" s="409">
        <v>0</v>
      </c>
      <c r="DG299" s="409">
        <v>8.5008816768415159</v>
      </c>
      <c r="DH299" s="409">
        <v>0</v>
      </c>
      <c r="DI299" s="409">
        <v>-1.0198739500259251</v>
      </c>
      <c r="DJ299" s="409"/>
      <c r="DK299" s="409">
        <v>0</v>
      </c>
      <c r="DL299" s="409">
        <v>0</v>
      </c>
      <c r="DM299" s="409">
        <v>0</v>
      </c>
      <c r="DN299" s="409">
        <v>0</v>
      </c>
      <c r="DO299" s="409">
        <v>-0.32023802515170274</v>
      </c>
      <c r="DP299" s="409">
        <v>-0.56834762694486152</v>
      </c>
      <c r="DQ299" s="409">
        <v>0</v>
      </c>
      <c r="DR299" s="409">
        <v>-10.353407557629025</v>
      </c>
      <c r="DS299" s="409"/>
      <c r="DT299" s="409"/>
      <c r="DU299" s="409"/>
      <c r="DV299" s="409">
        <v>2304.416509167228</v>
      </c>
      <c r="DW299" s="409">
        <v>0</v>
      </c>
      <c r="DX299" s="409">
        <v>0</v>
      </c>
      <c r="DY299" s="409">
        <v>-492.19959999999992</v>
      </c>
      <c r="DZ299" s="409">
        <v>47.545200000000023</v>
      </c>
      <c r="EA299" s="409">
        <v>0</v>
      </c>
      <c r="EB299" s="409">
        <v>0</v>
      </c>
      <c r="EC299" s="409">
        <v>-528.22645096574547</v>
      </c>
      <c r="ED299" s="409">
        <v>0</v>
      </c>
      <c r="EE299" s="409">
        <v>0</v>
      </c>
      <c r="EF299" s="409">
        <v>0</v>
      </c>
      <c r="EG299" s="409">
        <v>0</v>
      </c>
      <c r="EH299" s="409">
        <v>0</v>
      </c>
      <c r="EI299" s="409">
        <v>0</v>
      </c>
      <c r="EJ299" s="409">
        <v>0</v>
      </c>
      <c r="EK299" s="409">
        <v>0</v>
      </c>
      <c r="EL299" s="409">
        <v>0</v>
      </c>
      <c r="EM299" s="409">
        <v>0</v>
      </c>
      <c r="EN299" s="409">
        <v>0</v>
      </c>
      <c r="EO299" s="409">
        <v>0</v>
      </c>
      <c r="EP299" s="409">
        <v>0</v>
      </c>
      <c r="EQ299" s="409">
        <v>0</v>
      </c>
      <c r="ER299" s="409">
        <v>0</v>
      </c>
      <c r="ES299" s="409">
        <v>0</v>
      </c>
      <c r="ET299" s="409">
        <v>0</v>
      </c>
      <c r="EU299" s="409">
        <v>0</v>
      </c>
      <c r="EV299" s="409">
        <v>254</v>
      </c>
      <c r="EW299" s="409">
        <v>0</v>
      </c>
      <c r="EX299" s="409">
        <v>0</v>
      </c>
      <c r="EY299" s="409">
        <v>0</v>
      </c>
      <c r="EZ299" s="409"/>
      <c r="FA299" s="409">
        <v>0</v>
      </c>
      <c r="FB299" s="409"/>
      <c r="FC299" s="409"/>
      <c r="FD299" s="409"/>
      <c r="FE299" s="409"/>
      <c r="FF299" s="409">
        <v>0</v>
      </c>
      <c r="FG299" s="409">
        <v>0</v>
      </c>
      <c r="FH299" s="409">
        <v>0</v>
      </c>
      <c r="FI299" s="409">
        <v>0</v>
      </c>
    </row>
    <row r="300" spans="1:165">
      <c r="A300" s="409">
        <v>298</v>
      </c>
      <c r="B300" s="409" t="s">
        <v>1035</v>
      </c>
      <c r="C300" s="409" t="s">
        <v>2244</v>
      </c>
      <c r="D300" s="409" t="s">
        <v>1991</v>
      </c>
      <c r="E300" s="409" t="s">
        <v>968</v>
      </c>
      <c r="F300" s="409" t="s">
        <v>968</v>
      </c>
      <c r="G300" s="409" t="s">
        <v>1323</v>
      </c>
      <c r="H300" s="409" t="s">
        <v>1323</v>
      </c>
      <c r="I300" s="409" t="s">
        <v>1323</v>
      </c>
      <c r="J300" s="409" t="s">
        <v>2245</v>
      </c>
      <c r="K300" s="835">
        <v>44621</v>
      </c>
      <c r="L300" s="409">
        <v>0</v>
      </c>
      <c r="M300" s="409">
        <v>0</v>
      </c>
      <c r="N300" s="409">
        <v>213.54900000000001</v>
      </c>
      <c r="O300" s="409">
        <v>213.54900000000001</v>
      </c>
      <c r="P300" s="409">
        <v>213.54900000000001</v>
      </c>
      <c r="Q300" s="409">
        <v>213.54900000000001</v>
      </c>
      <c r="R300" s="409"/>
      <c r="S300" s="409">
        <v>597.01</v>
      </c>
      <c r="T300" s="409">
        <v>243.39</v>
      </c>
      <c r="U300" s="409"/>
      <c r="V300" s="409">
        <v>179466.5796</v>
      </c>
      <c r="W300" s="409">
        <v>179466.5796</v>
      </c>
      <c r="X300" s="409">
        <v>162570.58272000001</v>
      </c>
      <c r="Y300" s="409">
        <v>0</v>
      </c>
      <c r="Z300" s="409">
        <v>5313.8417292154827</v>
      </c>
      <c r="AA300" s="409">
        <v>0</v>
      </c>
      <c r="AB300" s="409">
        <v>0</v>
      </c>
      <c r="AC300" s="409">
        <v>0</v>
      </c>
      <c r="AD300" s="409">
        <v>25025.607771905899</v>
      </c>
      <c r="AE300" s="409">
        <v>87563.316924582279</v>
      </c>
      <c r="AF300" s="409">
        <v>51975.102740063841</v>
      </c>
      <c r="AG300" s="409">
        <v>0</v>
      </c>
      <c r="AH300" s="409">
        <v>0</v>
      </c>
      <c r="AI300" s="409">
        <v>0</v>
      </c>
      <c r="AJ300" s="409">
        <v>0</v>
      </c>
      <c r="AK300" s="409">
        <v>0</v>
      </c>
      <c r="AL300" s="409">
        <v>2169.4636866761207</v>
      </c>
      <c r="AM300" s="409"/>
      <c r="AN300" s="409">
        <v>366.63617490314988</v>
      </c>
      <c r="AO300" s="409">
        <v>0</v>
      </c>
      <c r="AP300" s="409">
        <v>0</v>
      </c>
      <c r="AQ300" s="409">
        <v>0</v>
      </c>
      <c r="AR300" s="409">
        <v>0</v>
      </c>
      <c r="AS300" s="409">
        <v>0</v>
      </c>
      <c r="AT300" s="409">
        <v>0</v>
      </c>
      <c r="AU300" s="409">
        <v>0</v>
      </c>
      <c r="AV300" s="409">
        <v>0</v>
      </c>
      <c r="AW300" s="409">
        <v>0</v>
      </c>
      <c r="AX300" s="409">
        <v>0</v>
      </c>
      <c r="AY300" s="409">
        <v>0</v>
      </c>
      <c r="AZ300" s="409">
        <v>0</v>
      </c>
      <c r="BA300" s="409"/>
      <c r="BB300" s="409">
        <v>0</v>
      </c>
      <c r="BC300" s="409">
        <v>0</v>
      </c>
      <c r="BD300" s="409">
        <v>0</v>
      </c>
      <c r="BE300" s="409">
        <v>0</v>
      </c>
      <c r="BF300" s="409">
        <v>0</v>
      </c>
      <c r="BG300" s="409">
        <v>7051.2447608324237</v>
      </c>
      <c r="BH300" s="409">
        <v>0</v>
      </c>
      <c r="BI300" s="409">
        <v>51.21</v>
      </c>
      <c r="BJ300" s="409">
        <v>236.77</v>
      </c>
      <c r="BK300" s="409">
        <v>1964.03</v>
      </c>
      <c r="BL300" s="409">
        <v>1834</v>
      </c>
      <c r="BM300" s="409"/>
      <c r="BN300" s="409"/>
      <c r="BO300" s="409"/>
      <c r="BP300" s="409"/>
      <c r="BQ300" s="409"/>
      <c r="BR300" s="409"/>
      <c r="BS300" s="409"/>
      <c r="BT300" s="409"/>
      <c r="BU300" s="409"/>
      <c r="BV300" s="409">
        <v>59026.347500896263</v>
      </c>
      <c r="BW300" s="409"/>
      <c r="BX300" s="409"/>
      <c r="BY300" s="409"/>
      <c r="BZ300" s="409"/>
      <c r="CA300" s="409"/>
      <c r="CB300" s="409"/>
      <c r="CC300" s="409"/>
      <c r="CD300" s="409"/>
      <c r="CE300" s="409"/>
      <c r="CF300" s="409"/>
      <c r="CG300" s="409"/>
      <c r="CH300" s="409"/>
      <c r="CI300" s="409">
        <v>162571.34400000001</v>
      </c>
      <c r="CJ300" s="409">
        <v>-16895.265599999984</v>
      </c>
      <c r="CK300" s="409"/>
      <c r="CL300" s="409"/>
      <c r="CM300" s="409"/>
      <c r="CN300" s="409"/>
      <c r="CO300" s="409">
        <v>-18702.621419999996</v>
      </c>
      <c r="CP300" s="409">
        <v>1806.6245400000018</v>
      </c>
      <c r="CQ300" s="409">
        <v>31</v>
      </c>
      <c r="CR300" s="409">
        <v>3176.2900301445625</v>
      </c>
      <c r="CS300" s="409">
        <v>0</v>
      </c>
      <c r="CT300" s="409">
        <v>0</v>
      </c>
      <c r="CU300" s="409">
        <v>0</v>
      </c>
      <c r="CV300" s="409">
        <v>0</v>
      </c>
      <c r="CW300" s="409">
        <v>0</v>
      </c>
      <c r="CX300" s="409">
        <v>0</v>
      </c>
      <c r="CY300" s="409">
        <v>0</v>
      </c>
      <c r="CZ300" s="409">
        <v>938.22550715563557</v>
      </c>
      <c r="DA300" s="409">
        <v>0</v>
      </c>
      <c r="DB300" s="409">
        <v>0</v>
      </c>
      <c r="DC300" s="409">
        <v>2380.9746099800177</v>
      </c>
      <c r="DD300" s="409">
        <v>0</v>
      </c>
      <c r="DE300" s="409">
        <v>0</v>
      </c>
      <c r="DF300" s="409">
        <v>0</v>
      </c>
      <c r="DG300" s="409">
        <v>323.01686498359868</v>
      </c>
      <c r="DH300" s="409">
        <v>0</v>
      </c>
      <c r="DI300" s="409">
        <v>-38.753213906421479</v>
      </c>
      <c r="DJ300" s="409"/>
      <c r="DK300" s="409">
        <v>0</v>
      </c>
      <c r="DL300" s="409">
        <v>0</v>
      </c>
      <c r="DM300" s="409">
        <v>0</v>
      </c>
      <c r="DN300" s="409">
        <v>0</v>
      </c>
      <c r="DO300" s="409">
        <v>-12.168418155359632</v>
      </c>
      <c r="DP300" s="409">
        <v>-21.596097399723817</v>
      </c>
      <c r="DQ300" s="409">
        <v>0</v>
      </c>
      <c r="DR300" s="409">
        <v>-393.40922251318875</v>
      </c>
      <c r="DS300" s="409"/>
      <c r="DT300" s="409"/>
      <c r="DU300" s="409"/>
      <c r="DV300" s="409">
        <v>87563.316924582279</v>
      </c>
      <c r="DW300" s="409">
        <v>0</v>
      </c>
      <c r="DX300" s="409">
        <v>0</v>
      </c>
      <c r="DY300" s="409">
        <v>-18702.621419999996</v>
      </c>
      <c r="DZ300" s="409">
        <v>1806.6245399999971</v>
      </c>
      <c r="EA300" s="409">
        <v>0</v>
      </c>
      <c r="EB300" s="409">
        <v>0</v>
      </c>
      <c r="EC300" s="409">
        <v>-20071.571241509606</v>
      </c>
      <c r="ED300" s="409">
        <v>0</v>
      </c>
      <c r="EE300" s="409">
        <v>0</v>
      </c>
      <c r="EF300" s="409">
        <v>0</v>
      </c>
      <c r="EG300" s="409">
        <v>0</v>
      </c>
      <c r="EH300" s="409">
        <v>0</v>
      </c>
      <c r="EI300" s="409">
        <v>0</v>
      </c>
      <c r="EJ300" s="409">
        <v>0</v>
      </c>
      <c r="EK300" s="409">
        <v>0</v>
      </c>
      <c r="EL300" s="409">
        <v>0</v>
      </c>
      <c r="EM300" s="409">
        <v>0</v>
      </c>
      <c r="EN300" s="409">
        <v>0</v>
      </c>
      <c r="EO300" s="409">
        <v>0</v>
      </c>
      <c r="EP300" s="409">
        <v>0</v>
      </c>
      <c r="EQ300" s="409">
        <v>0</v>
      </c>
      <c r="ER300" s="409">
        <v>0</v>
      </c>
      <c r="ES300" s="409">
        <v>0</v>
      </c>
      <c r="ET300" s="409">
        <v>0</v>
      </c>
      <c r="EU300" s="409">
        <v>0</v>
      </c>
      <c r="EV300" s="409">
        <v>254</v>
      </c>
      <c r="EW300" s="409">
        <v>0</v>
      </c>
      <c r="EX300" s="409">
        <v>0</v>
      </c>
      <c r="EY300" s="409">
        <v>0</v>
      </c>
      <c r="EZ300" s="409"/>
      <c r="FA300" s="409">
        <v>0</v>
      </c>
      <c r="FB300" s="409"/>
      <c r="FC300" s="409"/>
      <c r="FD300" s="409"/>
      <c r="FE300" s="409"/>
      <c r="FF300" s="409">
        <v>0</v>
      </c>
      <c r="FG300" s="409">
        <v>0</v>
      </c>
      <c r="FH300" s="409">
        <v>0</v>
      </c>
      <c r="FI300" s="409">
        <v>0</v>
      </c>
    </row>
    <row r="301" spans="1:165">
      <c r="A301" s="409">
        <v>299</v>
      </c>
      <c r="B301" s="409" t="s">
        <v>2246</v>
      </c>
      <c r="C301" s="409" t="s">
        <v>2244</v>
      </c>
      <c r="D301" s="409" t="s">
        <v>1991</v>
      </c>
      <c r="E301" s="409" t="s">
        <v>968</v>
      </c>
      <c r="F301" s="409" t="s">
        <v>968</v>
      </c>
      <c r="G301" s="409" t="s">
        <v>1323</v>
      </c>
      <c r="H301" s="409" t="s">
        <v>1323</v>
      </c>
      <c r="I301" s="409" t="s">
        <v>1323</v>
      </c>
      <c r="J301" s="409" t="s">
        <v>2245</v>
      </c>
      <c r="K301" s="835">
        <v>44621</v>
      </c>
      <c r="L301" s="409">
        <v>0</v>
      </c>
      <c r="M301" s="409">
        <v>0</v>
      </c>
      <c r="N301" s="409">
        <v>3.77</v>
      </c>
      <c r="O301" s="409">
        <v>3.77</v>
      </c>
      <c r="P301" s="409">
        <v>3.77</v>
      </c>
      <c r="Q301" s="409">
        <v>3.77</v>
      </c>
      <c r="R301" s="409"/>
      <c r="S301" s="409">
        <v>597.01</v>
      </c>
      <c r="T301" s="409">
        <v>243.39</v>
      </c>
      <c r="U301" s="409"/>
      <c r="V301" s="409">
        <v>3168.308</v>
      </c>
      <c r="W301" s="409">
        <v>3168.308</v>
      </c>
      <c r="X301" s="409">
        <v>2870.0255999999999</v>
      </c>
      <c r="Y301" s="409">
        <v>0</v>
      </c>
      <c r="Z301" s="409">
        <v>93.810710043794955</v>
      </c>
      <c r="AA301" s="409">
        <v>0</v>
      </c>
      <c r="AB301" s="409">
        <v>0</v>
      </c>
      <c r="AC301" s="409">
        <v>0</v>
      </c>
      <c r="AD301" s="409">
        <v>441.80277734892337</v>
      </c>
      <c r="AE301" s="409">
        <v>1545.845238355952</v>
      </c>
      <c r="AF301" s="409">
        <v>917.56991290074268</v>
      </c>
      <c r="AG301" s="409">
        <v>0</v>
      </c>
      <c r="AH301" s="409">
        <v>0</v>
      </c>
      <c r="AI301" s="409">
        <v>0</v>
      </c>
      <c r="AJ301" s="409">
        <v>0</v>
      </c>
      <c r="AK301" s="409">
        <v>0</v>
      </c>
      <c r="AL301" s="409">
        <v>38.299772411807005</v>
      </c>
      <c r="AM301" s="409"/>
      <c r="AN301" s="409">
        <v>6.4726052539926435</v>
      </c>
      <c r="AO301" s="409">
        <v>0</v>
      </c>
      <c r="AP301" s="409">
        <v>0</v>
      </c>
      <c r="AQ301" s="409">
        <v>0</v>
      </c>
      <c r="AR301" s="409">
        <v>0</v>
      </c>
      <c r="AS301" s="409">
        <v>0</v>
      </c>
      <c r="AT301" s="409">
        <v>0</v>
      </c>
      <c r="AU301" s="409">
        <v>0</v>
      </c>
      <c r="AV301" s="409">
        <v>0</v>
      </c>
      <c r="AW301" s="409">
        <v>0</v>
      </c>
      <c r="AX301" s="409">
        <v>0</v>
      </c>
      <c r="AY301" s="409">
        <v>0</v>
      </c>
      <c r="AZ301" s="409">
        <v>0</v>
      </c>
      <c r="BA301" s="409"/>
      <c r="BB301" s="409">
        <v>0</v>
      </c>
      <c r="BC301" s="409">
        <v>0</v>
      </c>
      <c r="BD301" s="409">
        <v>0</v>
      </c>
      <c r="BE301" s="409">
        <v>0</v>
      </c>
      <c r="BF301" s="409">
        <v>0</v>
      </c>
      <c r="BG301" s="409">
        <v>124.48287160482248</v>
      </c>
      <c r="BH301" s="409">
        <v>0</v>
      </c>
      <c r="BI301" s="409">
        <v>0</v>
      </c>
      <c r="BJ301" s="409">
        <v>0</v>
      </c>
      <c r="BK301" s="409">
        <v>0</v>
      </c>
      <c r="BL301" s="409">
        <v>16</v>
      </c>
      <c r="BM301" s="409"/>
      <c r="BN301" s="409"/>
      <c r="BO301" s="409"/>
      <c r="BP301" s="409"/>
      <c r="BQ301" s="409"/>
      <c r="BR301" s="409"/>
      <c r="BS301" s="409"/>
      <c r="BT301" s="409"/>
      <c r="BU301" s="409"/>
      <c r="BV301" s="409">
        <v>1042.0527845055651</v>
      </c>
      <c r="BW301" s="409"/>
      <c r="BX301" s="409"/>
      <c r="BY301" s="409"/>
      <c r="BZ301" s="409"/>
      <c r="CA301" s="409"/>
      <c r="CB301" s="409"/>
      <c r="CC301" s="409"/>
      <c r="CD301" s="409"/>
      <c r="CE301" s="409"/>
      <c r="CF301" s="409"/>
      <c r="CG301" s="409"/>
      <c r="CH301" s="409"/>
      <c r="CI301" s="409">
        <v>2870.0255999999999</v>
      </c>
      <c r="CJ301" s="409">
        <v>-298.31240000000071</v>
      </c>
      <c r="CK301" s="409"/>
      <c r="CL301" s="409"/>
      <c r="CM301" s="409"/>
      <c r="CN301" s="409"/>
      <c r="CO301" s="409">
        <v>-330.17659999999995</v>
      </c>
      <c r="CP301" s="409">
        <v>31.89420000000003</v>
      </c>
      <c r="CQ301" s="409">
        <v>31</v>
      </c>
      <c r="CR301" s="409">
        <v>56.074312750914032</v>
      </c>
      <c r="CS301" s="409">
        <v>0</v>
      </c>
      <c r="CT301" s="409">
        <v>0</v>
      </c>
      <c r="CU301" s="409">
        <v>0</v>
      </c>
      <c r="CV301" s="409">
        <v>0</v>
      </c>
      <c r="CW301" s="409">
        <v>0</v>
      </c>
      <c r="CX301" s="409">
        <v>0</v>
      </c>
      <c r="CY301" s="409">
        <v>0</v>
      </c>
      <c r="CZ301" s="409">
        <v>16.563459262168124</v>
      </c>
      <c r="DA301" s="409">
        <v>0</v>
      </c>
      <c r="DB301" s="409">
        <v>0</v>
      </c>
      <c r="DC301" s="409">
        <v>42.033792148989846</v>
      </c>
      <c r="DD301" s="409">
        <v>0</v>
      </c>
      <c r="DE301" s="409">
        <v>0</v>
      </c>
      <c r="DF301" s="409">
        <v>0</v>
      </c>
      <c r="DG301" s="409">
        <v>5.702548740514672</v>
      </c>
      <c r="DH301" s="409">
        <v>0</v>
      </c>
      <c r="DI301" s="409">
        <v>-0.68415031878963362</v>
      </c>
      <c r="DJ301" s="409"/>
      <c r="DK301" s="409">
        <v>0</v>
      </c>
      <c r="DL301" s="409">
        <v>0</v>
      </c>
      <c r="DM301" s="409">
        <v>0</v>
      </c>
      <c r="DN301" s="409">
        <v>0</v>
      </c>
      <c r="DO301" s="409">
        <v>-0.21482159338468421</v>
      </c>
      <c r="DP301" s="409">
        <v>-0.38125810561959472</v>
      </c>
      <c r="DQ301" s="409">
        <v>0</v>
      </c>
      <c r="DR301" s="409">
        <v>-6.945257382964666</v>
      </c>
      <c r="DS301" s="409"/>
      <c r="DT301" s="409"/>
      <c r="DU301" s="409"/>
      <c r="DV301" s="409">
        <v>1545.845238355952</v>
      </c>
      <c r="DW301" s="409">
        <v>0</v>
      </c>
      <c r="DX301" s="409">
        <v>0</v>
      </c>
      <c r="DY301" s="409">
        <v>-330.17659999999978</v>
      </c>
      <c r="DZ301" s="409">
        <v>31.894200000000069</v>
      </c>
      <c r="EA301" s="409">
        <v>0</v>
      </c>
      <c r="EB301" s="409">
        <v>0</v>
      </c>
      <c r="EC301" s="409">
        <v>-354.34407831687918</v>
      </c>
      <c r="ED301" s="409">
        <v>0</v>
      </c>
      <c r="EE301" s="409">
        <v>0</v>
      </c>
      <c r="EF301" s="409">
        <v>0</v>
      </c>
      <c r="EG301" s="409">
        <v>0</v>
      </c>
      <c r="EH301" s="409">
        <v>0</v>
      </c>
      <c r="EI301" s="409">
        <v>0</v>
      </c>
      <c r="EJ301" s="409">
        <v>0</v>
      </c>
      <c r="EK301" s="409">
        <v>0</v>
      </c>
      <c r="EL301" s="409">
        <v>0</v>
      </c>
      <c r="EM301" s="409">
        <v>0</v>
      </c>
      <c r="EN301" s="409">
        <v>0</v>
      </c>
      <c r="EO301" s="409">
        <v>0</v>
      </c>
      <c r="EP301" s="409">
        <v>0</v>
      </c>
      <c r="EQ301" s="409">
        <v>0</v>
      </c>
      <c r="ER301" s="409">
        <v>0</v>
      </c>
      <c r="ES301" s="409">
        <v>0</v>
      </c>
      <c r="ET301" s="409">
        <v>0</v>
      </c>
      <c r="EU301" s="409">
        <v>0</v>
      </c>
      <c r="EV301" s="409">
        <v>254</v>
      </c>
      <c r="EW301" s="409">
        <v>0</v>
      </c>
      <c r="EX301" s="409">
        <v>0</v>
      </c>
      <c r="EY301" s="409">
        <v>0</v>
      </c>
      <c r="EZ301" s="409"/>
      <c r="FA301" s="409">
        <v>0</v>
      </c>
      <c r="FB301" s="409"/>
      <c r="FC301" s="409"/>
      <c r="FD301" s="409"/>
      <c r="FE301" s="409"/>
      <c r="FF301" s="409">
        <v>0</v>
      </c>
      <c r="FG301" s="409">
        <v>0</v>
      </c>
      <c r="FH301" s="409">
        <v>0</v>
      </c>
      <c r="FI301" s="409">
        <v>0</v>
      </c>
    </row>
    <row r="302" spans="1:165">
      <c r="A302" s="409">
        <v>300</v>
      </c>
      <c r="B302" s="409" t="s">
        <v>1035</v>
      </c>
      <c r="C302" s="409" t="s">
        <v>2244</v>
      </c>
      <c r="D302" s="409" t="s">
        <v>1991</v>
      </c>
      <c r="E302" s="409" t="s">
        <v>968</v>
      </c>
      <c r="F302" s="409" t="s">
        <v>2247</v>
      </c>
      <c r="G302" s="409" t="s">
        <v>1323</v>
      </c>
      <c r="H302" s="409" t="s">
        <v>1323</v>
      </c>
      <c r="I302" s="409" t="s">
        <v>1323</v>
      </c>
      <c r="J302" s="409" t="s">
        <v>2245</v>
      </c>
      <c r="K302" s="835">
        <v>44621</v>
      </c>
      <c r="L302" s="409">
        <v>0</v>
      </c>
      <c r="M302" s="409">
        <v>0</v>
      </c>
      <c r="N302" s="409">
        <v>75.36</v>
      </c>
      <c r="O302" s="409">
        <v>75.36</v>
      </c>
      <c r="P302" s="409">
        <v>75.36</v>
      </c>
      <c r="Q302" s="409">
        <v>75.36</v>
      </c>
      <c r="R302" s="409"/>
      <c r="S302" s="409">
        <v>561.96</v>
      </c>
      <c r="T302" s="409">
        <v>243.39</v>
      </c>
      <c r="U302" s="409"/>
      <c r="V302" s="409">
        <v>60691.175999999999</v>
      </c>
      <c r="W302" s="409">
        <v>60691.175999999999</v>
      </c>
      <c r="X302" s="409">
        <v>54743.011199999994</v>
      </c>
      <c r="Y302" s="409">
        <v>0</v>
      </c>
      <c r="Z302" s="409">
        <v>0</v>
      </c>
      <c r="AA302" s="409">
        <v>0</v>
      </c>
      <c r="AB302" s="409">
        <v>0</v>
      </c>
      <c r="AC302" s="409">
        <v>0</v>
      </c>
      <c r="AD302" s="409">
        <v>8831.3679843540758</v>
      </c>
      <c r="AE302" s="409">
        <v>30900.503226128523</v>
      </c>
      <c r="AF302" s="409">
        <v>18341.662768222803</v>
      </c>
      <c r="AG302" s="409">
        <v>0</v>
      </c>
      <c r="AH302" s="409">
        <v>0</v>
      </c>
      <c r="AI302" s="409">
        <v>0</v>
      </c>
      <c r="AJ302" s="409">
        <v>0</v>
      </c>
      <c r="AK302" s="409">
        <v>0</v>
      </c>
      <c r="AL302" s="409">
        <v>0</v>
      </c>
      <c r="AM302" s="409"/>
      <c r="AN302" s="409">
        <v>129.38343022304659</v>
      </c>
      <c r="AO302" s="409">
        <v>0</v>
      </c>
      <c r="AP302" s="409">
        <v>0</v>
      </c>
      <c r="AQ302" s="409">
        <v>0</v>
      </c>
      <c r="AR302" s="409">
        <v>0</v>
      </c>
      <c r="AS302" s="409">
        <v>0</v>
      </c>
      <c r="AT302" s="409">
        <v>0</v>
      </c>
      <c r="AU302" s="409">
        <v>0</v>
      </c>
      <c r="AV302" s="409">
        <v>0</v>
      </c>
      <c r="AW302" s="409">
        <v>0</v>
      </c>
      <c r="AX302" s="409">
        <v>0</v>
      </c>
      <c r="AY302" s="409">
        <v>0</v>
      </c>
      <c r="AZ302" s="409">
        <v>0</v>
      </c>
      <c r="BA302" s="409"/>
      <c r="BB302" s="409">
        <v>0</v>
      </c>
      <c r="BC302" s="409">
        <v>0</v>
      </c>
      <c r="BD302" s="409">
        <v>0</v>
      </c>
      <c r="BE302" s="409">
        <v>0</v>
      </c>
      <c r="BF302" s="409">
        <v>0</v>
      </c>
      <c r="BG302" s="409">
        <v>2488.3366589229236</v>
      </c>
      <c r="BH302" s="409">
        <v>0</v>
      </c>
      <c r="BI302" s="409">
        <v>0</v>
      </c>
      <c r="BJ302" s="409">
        <v>0</v>
      </c>
      <c r="BK302" s="409">
        <v>0</v>
      </c>
      <c r="BL302" s="409">
        <v>172</v>
      </c>
      <c r="BM302" s="409"/>
      <c r="BN302" s="409"/>
      <c r="BO302" s="409"/>
      <c r="BP302" s="409"/>
      <c r="BQ302" s="409"/>
      <c r="BR302" s="409"/>
      <c r="BS302" s="409"/>
      <c r="BT302" s="409">
        <v>35582.731200000002</v>
      </c>
      <c r="BU302" s="409"/>
      <c r="BV302" s="409">
        <v>20829.999427145725</v>
      </c>
      <c r="BW302" s="409"/>
      <c r="BX302" s="409"/>
      <c r="BY302" s="409"/>
      <c r="BZ302" s="409"/>
      <c r="CA302" s="409"/>
      <c r="CB302" s="409"/>
      <c r="CC302" s="409"/>
      <c r="CD302" s="409"/>
      <c r="CE302" s="409"/>
      <c r="CF302" s="409"/>
      <c r="CG302" s="409"/>
      <c r="CH302" s="409"/>
      <c r="CI302" s="409">
        <v>19160.28</v>
      </c>
      <c r="CJ302" s="409">
        <v>-2082.2268000000004</v>
      </c>
      <c r="CK302" s="409"/>
      <c r="CL302" s="409"/>
      <c r="CM302" s="409"/>
      <c r="CN302" s="409"/>
      <c r="CO302" s="409">
        <v>-6585.7104000000036</v>
      </c>
      <c r="CP302" s="409">
        <v>637.5456000000006</v>
      </c>
      <c r="CQ302" s="409">
        <v>31</v>
      </c>
      <c r="CR302" s="409">
        <v>1135.1330479586723</v>
      </c>
      <c r="CS302" s="409">
        <v>0</v>
      </c>
      <c r="CT302" s="409">
        <v>0</v>
      </c>
      <c r="CU302" s="409">
        <v>0</v>
      </c>
      <c r="CV302" s="409">
        <v>0</v>
      </c>
      <c r="CW302" s="409">
        <v>0</v>
      </c>
      <c r="CX302" s="409">
        <v>0</v>
      </c>
      <c r="CY302" s="409">
        <v>0</v>
      </c>
      <c r="CZ302" s="409">
        <v>331.0934456225441</v>
      </c>
      <c r="DA302" s="409">
        <v>0</v>
      </c>
      <c r="DB302" s="409">
        <v>0</v>
      </c>
      <c r="DC302" s="409">
        <v>840.22986110023339</v>
      </c>
      <c r="DD302" s="409">
        <v>0</v>
      </c>
      <c r="DE302" s="409">
        <v>0</v>
      </c>
      <c r="DF302" s="409">
        <v>0</v>
      </c>
      <c r="DG302" s="409">
        <v>113.99047031437294</v>
      </c>
      <c r="DH302" s="409">
        <v>0</v>
      </c>
      <c r="DI302" s="409">
        <v>0</v>
      </c>
      <c r="DJ302" s="409"/>
      <c r="DK302" s="409">
        <v>0</v>
      </c>
      <c r="DL302" s="409">
        <v>0</v>
      </c>
      <c r="DM302" s="409">
        <v>0</v>
      </c>
      <c r="DN302" s="409">
        <v>0</v>
      </c>
      <c r="DO302" s="409">
        <v>0</v>
      </c>
      <c r="DP302" s="409">
        <v>-7.6211169335524289</v>
      </c>
      <c r="DQ302" s="409">
        <v>0</v>
      </c>
      <c r="DR302" s="409">
        <v>-142.55961214492893</v>
      </c>
      <c r="DS302" s="409"/>
      <c r="DT302" s="409"/>
      <c r="DU302" s="409"/>
      <c r="DV302" s="409">
        <v>30900.503226128523</v>
      </c>
      <c r="DW302" s="409">
        <v>0</v>
      </c>
      <c r="DX302" s="409">
        <v>0</v>
      </c>
      <c r="DY302" s="409">
        <v>-6585.7104000000036</v>
      </c>
      <c r="DZ302" s="409">
        <v>637.54560000000129</v>
      </c>
      <c r="EA302" s="409">
        <v>0</v>
      </c>
      <c r="EB302" s="409">
        <v>0</v>
      </c>
      <c r="EC302" s="409">
        <v>-7083.121947469499</v>
      </c>
      <c r="ED302" s="409">
        <v>0</v>
      </c>
      <c r="EE302" s="409">
        <v>0</v>
      </c>
      <c r="EF302" s="409">
        <v>0</v>
      </c>
      <c r="EG302" s="409">
        <v>0</v>
      </c>
      <c r="EH302" s="409">
        <v>0</v>
      </c>
      <c r="EI302" s="409">
        <v>0</v>
      </c>
      <c r="EJ302" s="409">
        <v>0</v>
      </c>
      <c r="EK302" s="409">
        <v>0</v>
      </c>
      <c r="EL302" s="409">
        <v>0</v>
      </c>
      <c r="EM302" s="409">
        <v>0</v>
      </c>
      <c r="EN302" s="409">
        <v>0</v>
      </c>
      <c r="EO302" s="409">
        <v>0</v>
      </c>
      <c r="EP302" s="409">
        <v>0</v>
      </c>
      <c r="EQ302" s="409">
        <v>0</v>
      </c>
      <c r="ER302" s="409">
        <v>0</v>
      </c>
      <c r="ES302" s="409">
        <v>0</v>
      </c>
      <c r="ET302" s="409">
        <v>0</v>
      </c>
      <c r="EU302" s="409">
        <v>0</v>
      </c>
      <c r="EV302" s="409">
        <v>254</v>
      </c>
      <c r="EW302" s="409">
        <v>0</v>
      </c>
      <c r="EX302" s="409">
        <v>0</v>
      </c>
      <c r="EY302" s="409">
        <v>0</v>
      </c>
      <c r="EZ302" s="409"/>
      <c r="FA302" s="409">
        <v>0</v>
      </c>
      <c r="FB302" s="409"/>
      <c r="FC302" s="409"/>
      <c r="FD302" s="409"/>
      <c r="FE302" s="409"/>
      <c r="FF302" s="409">
        <v>0</v>
      </c>
      <c r="FG302" s="409">
        <v>0</v>
      </c>
      <c r="FH302" s="409">
        <v>0</v>
      </c>
      <c r="FI302" s="409">
        <v>0</v>
      </c>
    </row>
    <row r="303" spans="1:165">
      <c r="A303" s="409">
        <v>301</v>
      </c>
      <c r="B303" s="409" t="s">
        <v>1035</v>
      </c>
      <c r="C303" s="409" t="s">
        <v>2244</v>
      </c>
      <c r="D303" s="409" t="s">
        <v>1991</v>
      </c>
      <c r="E303" s="409" t="s">
        <v>968</v>
      </c>
      <c r="F303" s="409" t="s">
        <v>2248</v>
      </c>
      <c r="G303" s="409" t="s">
        <v>1323</v>
      </c>
      <c r="H303" s="409" t="s">
        <v>1323</v>
      </c>
      <c r="I303" s="409" t="s">
        <v>1323</v>
      </c>
      <c r="J303" s="409" t="s">
        <v>2245</v>
      </c>
      <c r="K303" s="835">
        <v>44621</v>
      </c>
      <c r="L303" s="409">
        <v>0</v>
      </c>
      <c r="M303" s="409">
        <v>0</v>
      </c>
      <c r="N303" s="409">
        <v>122.306</v>
      </c>
      <c r="O303" s="409">
        <v>122.306</v>
      </c>
      <c r="P303" s="409">
        <v>122.306</v>
      </c>
      <c r="Q303" s="409">
        <v>122.306</v>
      </c>
      <c r="R303" s="409"/>
      <c r="S303" s="409">
        <v>561.96</v>
      </c>
      <c r="T303" s="409">
        <v>243.39</v>
      </c>
      <c r="U303" s="409"/>
      <c r="V303" s="409">
        <v>98499.137100000007</v>
      </c>
      <c r="W303" s="409">
        <v>98499.137100000007</v>
      </c>
      <c r="X303" s="409">
        <v>88845.524519999992</v>
      </c>
      <c r="Y303" s="409">
        <v>0</v>
      </c>
      <c r="Z303" s="409">
        <v>0</v>
      </c>
      <c r="AA303" s="409">
        <v>0</v>
      </c>
      <c r="AB303" s="409">
        <v>0</v>
      </c>
      <c r="AC303" s="409">
        <v>0</v>
      </c>
      <c r="AD303" s="409">
        <v>14332.925858471464</v>
      </c>
      <c r="AE303" s="409">
        <v>50150.17180964537</v>
      </c>
      <c r="AF303" s="409">
        <v>29767.720362662658</v>
      </c>
      <c r="AG303" s="409">
        <v>0</v>
      </c>
      <c r="AH303" s="409">
        <v>0</v>
      </c>
      <c r="AI303" s="409">
        <v>0</v>
      </c>
      <c r="AJ303" s="409">
        <v>0</v>
      </c>
      <c r="AK303" s="409">
        <v>0</v>
      </c>
      <c r="AL303" s="409">
        <v>0</v>
      </c>
      <c r="AM303" s="409"/>
      <c r="AN303" s="409">
        <v>209.98367591374648</v>
      </c>
      <c r="AO303" s="409">
        <v>0</v>
      </c>
      <c r="AP303" s="409">
        <v>0</v>
      </c>
      <c r="AQ303" s="409">
        <v>0</v>
      </c>
      <c r="AR303" s="409">
        <v>0</v>
      </c>
      <c r="AS303" s="409">
        <v>0</v>
      </c>
      <c r="AT303" s="409">
        <v>0</v>
      </c>
      <c r="AU303" s="409">
        <v>0</v>
      </c>
      <c r="AV303" s="409">
        <v>0</v>
      </c>
      <c r="AW303" s="409">
        <v>0</v>
      </c>
      <c r="AX303" s="409">
        <v>0</v>
      </c>
      <c r="AY303" s="409">
        <v>0</v>
      </c>
      <c r="AZ303" s="409">
        <v>0</v>
      </c>
      <c r="BA303" s="409"/>
      <c r="BB303" s="409">
        <v>0</v>
      </c>
      <c r="BC303" s="409">
        <v>0</v>
      </c>
      <c r="BD303" s="409">
        <v>0</v>
      </c>
      <c r="BE303" s="409">
        <v>0</v>
      </c>
      <c r="BF303" s="409">
        <v>0</v>
      </c>
      <c r="BG303" s="409">
        <v>4038.4620940316759</v>
      </c>
      <c r="BH303" s="409">
        <v>0</v>
      </c>
      <c r="BI303" s="409">
        <v>0</v>
      </c>
      <c r="BJ303" s="409">
        <v>0</v>
      </c>
      <c r="BK303" s="409">
        <v>0</v>
      </c>
      <c r="BL303" s="409">
        <v>1382</v>
      </c>
      <c r="BM303" s="409"/>
      <c r="BN303" s="409"/>
      <c r="BO303" s="409"/>
      <c r="BP303" s="409"/>
      <c r="BQ303" s="409"/>
      <c r="BR303" s="409"/>
      <c r="BS303" s="409"/>
      <c r="BT303" s="409">
        <v>35538.454419999995</v>
      </c>
      <c r="BU303" s="409"/>
      <c r="BV303" s="409">
        <v>33806.182456694332</v>
      </c>
      <c r="BW303" s="409"/>
      <c r="BX303" s="409"/>
      <c r="BY303" s="409"/>
      <c r="BZ303" s="409"/>
      <c r="CA303" s="409"/>
      <c r="CB303" s="409"/>
      <c r="CC303" s="409"/>
      <c r="CD303" s="409"/>
      <c r="CE303" s="409"/>
      <c r="CF303" s="409"/>
      <c r="CG303" s="409"/>
      <c r="CH303" s="409"/>
      <c r="CI303" s="409">
        <v>53308.813500000004</v>
      </c>
      <c r="CJ303" s="409">
        <v>-5790.6987600000066</v>
      </c>
      <c r="CK303" s="409"/>
      <c r="CL303" s="409"/>
      <c r="CM303" s="409"/>
      <c r="CN303" s="409"/>
      <c r="CO303" s="409">
        <v>-10688.321340000006</v>
      </c>
      <c r="CP303" s="409">
        <v>1034.7087600000009</v>
      </c>
      <c r="CQ303" s="409">
        <v>31</v>
      </c>
      <c r="CR303" s="409">
        <v>1842.271530833772</v>
      </c>
      <c r="CS303" s="409">
        <v>0</v>
      </c>
      <c r="CT303" s="409">
        <v>0</v>
      </c>
      <c r="CU303" s="409">
        <v>0</v>
      </c>
      <c r="CV303" s="409">
        <v>0</v>
      </c>
      <c r="CW303" s="409">
        <v>0</v>
      </c>
      <c r="CX303" s="409">
        <v>0</v>
      </c>
      <c r="CY303" s="409">
        <v>0</v>
      </c>
      <c r="CZ303" s="409">
        <v>537.35025159648103</v>
      </c>
      <c r="DA303" s="409">
        <v>0</v>
      </c>
      <c r="DB303" s="409">
        <v>0</v>
      </c>
      <c r="DC303" s="409">
        <v>1363.6564940515564</v>
      </c>
      <c r="DD303" s="409">
        <v>0</v>
      </c>
      <c r="DE303" s="409">
        <v>0</v>
      </c>
      <c r="DF303" s="409">
        <v>0</v>
      </c>
      <c r="DG303" s="409">
        <v>185.0015719515618</v>
      </c>
      <c r="DH303" s="409">
        <v>0</v>
      </c>
      <c r="DI303" s="409">
        <v>0</v>
      </c>
      <c r="DJ303" s="409"/>
      <c r="DK303" s="409">
        <v>0</v>
      </c>
      <c r="DL303" s="409">
        <v>0</v>
      </c>
      <c r="DM303" s="409">
        <v>0</v>
      </c>
      <c r="DN303" s="409">
        <v>0</v>
      </c>
      <c r="DO303" s="409">
        <v>0</v>
      </c>
      <c r="DP303" s="409">
        <v>-12.368741078490757</v>
      </c>
      <c r="DQ303" s="409">
        <v>0</v>
      </c>
      <c r="DR303" s="409">
        <v>-231.36804568733646</v>
      </c>
      <c r="DS303" s="409"/>
      <c r="DT303" s="409"/>
      <c r="DU303" s="409"/>
      <c r="DV303" s="409">
        <v>50150.17180964537</v>
      </c>
      <c r="DW303" s="409">
        <v>0</v>
      </c>
      <c r="DX303" s="409">
        <v>0</v>
      </c>
      <c r="DY303" s="409">
        <v>-10688.32134000001</v>
      </c>
      <c r="DZ303" s="409">
        <v>1034.7087599999977</v>
      </c>
      <c r="EA303" s="409">
        <v>0</v>
      </c>
      <c r="EB303" s="409">
        <v>0</v>
      </c>
      <c r="EC303" s="409">
        <v>-11495.59863199581</v>
      </c>
      <c r="ED303" s="409">
        <v>0</v>
      </c>
      <c r="EE303" s="409">
        <v>0</v>
      </c>
      <c r="EF303" s="409">
        <v>0</v>
      </c>
      <c r="EG303" s="409">
        <v>0</v>
      </c>
      <c r="EH303" s="409">
        <v>0</v>
      </c>
      <c r="EI303" s="409">
        <v>0</v>
      </c>
      <c r="EJ303" s="409">
        <v>0</v>
      </c>
      <c r="EK303" s="409">
        <v>0</v>
      </c>
      <c r="EL303" s="409">
        <v>0</v>
      </c>
      <c r="EM303" s="409">
        <v>0</v>
      </c>
      <c r="EN303" s="409">
        <v>0</v>
      </c>
      <c r="EO303" s="409">
        <v>0</v>
      </c>
      <c r="EP303" s="409">
        <v>0</v>
      </c>
      <c r="EQ303" s="409">
        <v>0</v>
      </c>
      <c r="ER303" s="409">
        <v>0</v>
      </c>
      <c r="ES303" s="409">
        <v>0</v>
      </c>
      <c r="ET303" s="409">
        <v>0</v>
      </c>
      <c r="EU303" s="409">
        <v>0</v>
      </c>
      <c r="EV303" s="409">
        <v>254</v>
      </c>
      <c r="EW303" s="409">
        <v>0</v>
      </c>
      <c r="EX303" s="409">
        <v>0</v>
      </c>
      <c r="EY303" s="409">
        <v>0</v>
      </c>
      <c r="EZ303" s="409"/>
      <c r="FA303" s="409">
        <v>0</v>
      </c>
      <c r="FB303" s="409"/>
      <c r="FC303" s="409"/>
      <c r="FD303" s="409"/>
      <c r="FE303" s="409"/>
      <c r="FF303" s="409">
        <v>0</v>
      </c>
      <c r="FG303" s="409">
        <v>0</v>
      </c>
      <c r="FH303" s="409">
        <v>0</v>
      </c>
      <c r="FI303" s="409">
        <v>0</v>
      </c>
    </row>
    <row r="304" spans="1:165">
      <c r="A304" s="409">
        <v>302</v>
      </c>
      <c r="B304" s="409" t="s">
        <v>1035</v>
      </c>
      <c r="C304" s="409" t="s">
        <v>2244</v>
      </c>
      <c r="D304" s="409" t="s">
        <v>1991</v>
      </c>
      <c r="E304" s="409" t="s">
        <v>968</v>
      </c>
      <c r="F304" s="409" t="s">
        <v>2249</v>
      </c>
      <c r="G304" s="409" t="s">
        <v>1323</v>
      </c>
      <c r="H304" s="409" t="s">
        <v>1323</v>
      </c>
      <c r="I304" s="409" t="s">
        <v>1323</v>
      </c>
      <c r="J304" s="409" t="s">
        <v>2245</v>
      </c>
      <c r="K304" s="835">
        <v>44621</v>
      </c>
      <c r="L304" s="409">
        <v>0</v>
      </c>
      <c r="M304" s="409">
        <v>0</v>
      </c>
      <c r="N304" s="409">
        <v>46.878</v>
      </c>
      <c r="O304" s="409">
        <v>46.878</v>
      </c>
      <c r="P304" s="409">
        <v>46.878</v>
      </c>
      <c r="Q304" s="409">
        <v>46.878</v>
      </c>
      <c r="R304" s="409"/>
      <c r="S304" s="409">
        <v>561.96</v>
      </c>
      <c r="T304" s="409">
        <v>243.39</v>
      </c>
      <c r="U304" s="409"/>
      <c r="V304" s="409">
        <v>37753.1973</v>
      </c>
      <c r="W304" s="409">
        <v>37753.1973</v>
      </c>
      <c r="X304" s="409">
        <v>34053.116759999997</v>
      </c>
      <c r="Y304" s="409">
        <v>0</v>
      </c>
      <c r="Z304" s="409">
        <v>0</v>
      </c>
      <c r="AA304" s="409">
        <v>0</v>
      </c>
      <c r="AB304" s="409">
        <v>0</v>
      </c>
      <c r="AC304" s="409">
        <v>0</v>
      </c>
      <c r="AD304" s="409">
        <v>5493.5890176559233</v>
      </c>
      <c r="AE304" s="409">
        <v>19221.785963832976</v>
      </c>
      <c r="AF304" s="409">
        <v>11409.507261793373</v>
      </c>
      <c r="AG304" s="409">
        <v>0</v>
      </c>
      <c r="AH304" s="409">
        <v>0</v>
      </c>
      <c r="AI304" s="409">
        <v>0</v>
      </c>
      <c r="AJ304" s="409">
        <v>0</v>
      </c>
      <c r="AK304" s="409">
        <v>0</v>
      </c>
      <c r="AL304" s="409">
        <v>0</v>
      </c>
      <c r="AM304" s="409"/>
      <c r="AN304" s="409">
        <v>80.483498434129217</v>
      </c>
      <c r="AO304" s="409">
        <v>0</v>
      </c>
      <c r="AP304" s="409">
        <v>0</v>
      </c>
      <c r="AQ304" s="409">
        <v>0</v>
      </c>
      <c r="AR304" s="409">
        <v>0</v>
      </c>
      <c r="AS304" s="409">
        <v>0</v>
      </c>
      <c r="AT304" s="409">
        <v>0</v>
      </c>
      <c r="AU304" s="409">
        <v>0</v>
      </c>
      <c r="AV304" s="409">
        <v>0</v>
      </c>
      <c r="AW304" s="409">
        <v>0</v>
      </c>
      <c r="AX304" s="409">
        <v>0</v>
      </c>
      <c r="AY304" s="409">
        <v>0</v>
      </c>
      <c r="AZ304" s="409">
        <v>0</v>
      </c>
      <c r="BA304" s="409"/>
      <c r="BB304" s="409">
        <v>0</v>
      </c>
      <c r="BC304" s="409">
        <v>0</v>
      </c>
      <c r="BD304" s="409">
        <v>0</v>
      </c>
      <c r="BE304" s="409">
        <v>0</v>
      </c>
      <c r="BF304" s="409">
        <v>0</v>
      </c>
      <c r="BG304" s="409">
        <v>1547.8801207137581</v>
      </c>
      <c r="BH304" s="409">
        <v>0</v>
      </c>
      <c r="BI304" s="409">
        <v>0</v>
      </c>
      <c r="BJ304" s="409">
        <v>0</v>
      </c>
      <c r="BK304" s="409">
        <v>0</v>
      </c>
      <c r="BL304" s="409">
        <v>835</v>
      </c>
      <c r="BM304" s="409"/>
      <c r="BN304" s="409"/>
      <c r="BO304" s="409"/>
      <c r="BP304" s="409"/>
      <c r="BQ304" s="409"/>
      <c r="BR304" s="409"/>
      <c r="BS304" s="409"/>
      <c r="BT304" s="409">
        <v>3405.2179199999991</v>
      </c>
      <c r="BU304" s="409"/>
      <c r="BV304" s="409">
        <v>12957.387382507131</v>
      </c>
      <c r="BW304" s="409"/>
      <c r="BX304" s="409"/>
      <c r="BY304" s="409"/>
      <c r="BZ304" s="409"/>
      <c r="CA304" s="409"/>
      <c r="CB304" s="409"/>
      <c r="CC304" s="409"/>
      <c r="CD304" s="409"/>
      <c r="CE304" s="409"/>
      <c r="CF304" s="409"/>
      <c r="CG304" s="409"/>
      <c r="CH304" s="409"/>
      <c r="CI304" s="409">
        <v>30649.206400000003</v>
      </c>
      <c r="CJ304" s="409">
        <v>-3328.9355599999981</v>
      </c>
      <c r="CK304" s="409"/>
      <c r="CL304" s="409"/>
      <c r="CM304" s="409"/>
      <c r="CN304" s="409"/>
      <c r="CO304" s="409">
        <v>-4096.6684200000018</v>
      </c>
      <c r="CP304" s="409">
        <v>396.58788000000038</v>
      </c>
      <c r="CQ304" s="409">
        <v>31</v>
      </c>
      <c r="CR304" s="409">
        <v>706.11421207811145</v>
      </c>
      <c r="CS304" s="409">
        <v>0</v>
      </c>
      <c r="CT304" s="409">
        <v>0</v>
      </c>
      <c r="CU304" s="409">
        <v>0</v>
      </c>
      <c r="CV304" s="409">
        <v>0</v>
      </c>
      <c r="CW304" s="409">
        <v>0</v>
      </c>
      <c r="CX304" s="409">
        <v>0</v>
      </c>
      <c r="CY304" s="409">
        <v>0</v>
      </c>
      <c r="CZ304" s="409">
        <v>205.95804861854594</v>
      </c>
      <c r="DA304" s="409">
        <v>0</v>
      </c>
      <c r="DB304" s="409">
        <v>0</v>
      </c>
      <c r="DC304" s="409">
        <v>522.6684637560611</v>
      </c>
      <c r="DD304" s="409">
        <v>0</v>
      </c>
      <c r="DE304" s="409">
        <v>0</v>
      </c>
      <c r="DF304" s="409">
        <v>0</v>
      </c>
      <c r="DG304" s="409">
        <v>70.90824399412395</v>
      </c>
      <c r="DH304" s="409">
        <v>0</v>
      </c>
      <c r="DI304" s="409">
        <v>0</v>
      </c>
      <c r="DJ304" s="409"/>
      <c r="DK304" s="409">
        <v>0</v>
      </c>
      <c r="DL304" s="409">
        <v>0</v>
      </c>
      <c r="DM304" s="409">
        <v>0</v>
      </c>
      <c r="DN304" s="409">
        <v>0</v>
      </c>
      <c r="DO304" s="409">
        <v>0</v>
      </c>
      <c r="DP304" s="409">
        <v>-4.7407473409112413</v>
      </c>
      <c r="DQ304" s="409">
        <v>0</v>
      </c>
      <c r="DR304" s="409">
        <v>-88.679796949707764</v>
      </c>
      <c r="DS304" s="409"/>
      <c r="DT304" s="409"/>
      <c r="DU304" s="409"/>
      <c r="DV304" s="409">
        <v>19221.785963832976</v>
      </c>
      <c r="DW304" s="409">
        <v>0</v>
      </c>
      <c r="DX304" s="409">
        <v>0</v>
      </c>
      <c r="DY304" s="409">
        <v>-4096.6684200000018</v>
      </c>
      <c r="DZ304" s="409">
        <v>396.58788000000095</v>
      </c>
      <c r="EA304" s="409">
        <v>0</v>
      </c>
      <c r="EB304" s="409">
        <v>0</v>
      </c>
      <c r="EC304" s="409">
        <v>-4406.0853324505733</v>
      </c>
      <c r="ED304" s="409">
        <v>0</v>
      </c>
      <c r="EE304" s="409">
        <v>0</v>
      </c>
      <c r="EF304" s="409">
        <v>0</v>
      </c>
      <c r="EG304" s="409">
        <v>0</v>
      </c>
      <c r="EH304" s="409">
        <v>0</v>
      </c>
      <c r="EI304" s="409">
        <v>0</v>
      </c>
      <c r="EJ304" s="409">
        <v>0</v>
      </c>
      <c r="EK304" s="409">
        <v>0</v>
      </c>
      <c r="EL304" s="409">
        <v>0</v>
      </c>
      <c r="EM304" s="409">
        <v>0</v>
      </c>
      <c r="EN304" s="409">
        <v>0</v>
      </c>
      <c r="EO304" s="409">
        <v>0</v>
      </c>
      <c r="EP304" s="409">
        <v>0</v>
      </c>
      <c r="EQ304" s="409">
        <v>0</v>
      </c>
      <c r="ER304" s="409">
        <v>0</v>
      </c>
      <c r="ES304" s="409">
        <v>0</v>
      </c>
      <c r="ET304" s="409">
        <v>0</v>
      </c>
      <c r="EU304" s="409">
        <v>0</v>
      </c>
      <c r="EV304" s="409">
        <v>254</v>
      </c>
      <c r="EW304" s="409">
        <v>0</v>
      </c>
      <c r="EX304" s="409">
        <v>0</v>
      </c>
      <c r="EY304" s="409">
        <v>0</v>
      </c>
      <c r="EZ304" s="409"/>
      <c r="FA304" s="409">
        <v>0</v>
      </c>
      <c r="FB304" s="409"/>
      <c r="FC304" s="409"/>
      <c r="FD304" s="409"/>
      <c r="FE304" s="409"/>
      <c r="FF304" s="409">
        <v>0</v>
      </c>
      <c r="FG304" s="409">
        <v>0</v>
      </c>
      <c r="FH304" s="409">
        <v>0</v>
      </c>
      <c r="FI304" s="409">
        <v>0</v>
      </c>
    </row>
    <row r="305" spans="1:165">
      <c r="A305" s="409">
        <v>303</v>
      </c>
      <c r="B305" s="409" t="s">
        <v>1035</v>
      </c>
      <c r="C305" s="409" t="s">
        <v>2244</v>
      </c>
      <c r="D305" s="409" t="s">
        <v>1991</v>
      </c>
      <c r="E305" s="409" t="s">
        <v>968</v>
      </c>
      <c r="F305" s="409" t="s">
        <v>2250</v>
      </c>
      <c r="G305" s="409" t="s">
        <v>1323</v>
      </c>
      <c r="H305" s="409" t="s">
        <v>1323</v>
      </c>
      <c r="I305" s="409" t="s">
        <v>1323</v>
      </c>
      <c r="J305" s="409" t="s">
        <v>2245</v>
      </c>
      <c r="K305" s="835">
        <v>44621</v>
      </c>
      <c r="L305" s="409">
        <v>0</v>
      </c>
      <c r="M305" s="409">
        <v>0</v>
      </c>
      <c r="N305" s="409">
        <v>16.321000000000002</v>
      </c>
      <c r="O305" s="409">
        <v>16.321000000000002</v>
      </c>
      <c r="P305" s="409">
        <v>16.321000000000002</v>
      </c>
      <c r="Q305" s="409">
        <v>16.321000000000002</v>
      </c>
      <c r="R305" s="409"/>
      <c r="S305" s="409">
        <v>561.96</v>
      </c>
      <c r="T305" s="409">
        <v>243.39</v>
      </c>
      <c r="U305" s="409"/>
      <c r="V305" s="409">
        <v>13144.11735</v>
      </c>
      <c r="W305" s="409">
        <v>13144.11735</v>
      </c>
      <c r="X305" s="409">
        <v>11855.900820000001</v>
      </c>
      <c r="Y305" s="409">
        <v>0</v>
      </c>
      <c r="Z305" s="409">
        <v>0</v>
      </c>
      <c r="AA305" s="409">
        <v>0</v>
      </c>
      <c r="AB305" s="409">
        <v>0</v>
      </c>
      <c r="AC305" s="409">
        <v>0</v>
      </c>
      <c r="AD305" s="409">
        <v>1912.642739817448</v>
      </c>
      <c r="AE305" s="409">
        <v>6692.2387626545078</v>
      </c>
      <c r="AF305" s="409">
        <v>3972.3232224013323</v>
      </c>
      <c r="AG305" s="409">
        <v>0</v>
      </c>
      <c r="AH305" s="409">
        <v>0</v>
      </c>
      <c r="AI305" s="409">
        <v>0</v>
      </c>
      <c r="AJ305" s="409">
        <v>0</v>
      </c>
      <c r="AK305" s="409">
        <v>0</v>
      </c>
      <c r="AL305" s="409">
        <v>0</v>
      </c>
      <c r="AM305" s="409"/>
      <c r="AN305" s="409">
        <v>28.021058448385663</v>
      </c>
      <c r="AO305" s="409">
        <v>0</v>
      </c>
      <c r="AP305" s="409">
        <v>0</v>
      </c>
      <c r="AQ305" s="409">
        <v>0</v>
      </c>
      <c r="AR305" s="409">
        <v>0</v>
      </c>
      <c r="AS305" s="409">
        <v>0</v>
      </c>
      <c r="AT305" s="409">
        <v>0</v>
      </c>
      <c r="AU305" s="409">
        <v>0</v>
      </c>
      <c r="AV305" s="409">
        <v>0</v>
      </c>
      <c r="AW305" s="409">
        <v>0</v>
      </c>
      <c r="AX305" s="409">
        <v>0</v>
      </c>
      <c r="AY305" s="409">
        <v>0</v>
      </c>
      <c r="AZ305" s="409">
        <v>0</v>
      </c>
      <c r="BA305" s="409"/>
      <c r="BB305" s="409">
        <v>0</v>
      </c>
      <c r="BC305" s="409">
        <v>0</v>
      </c>
      <c r="BD305" s="409">
        <v>0</v>
      </c>
      <c r="BE305" s="409">
        <v>0</v>
      </c>
      <c r="BF305" s="409">
        <v>0</v>
      </c>
      <c r="BG305" s="409">
        <v>538.90847412793312</v>
      </c>
      <c r="BH305" s="409">
        <v>0</v>
      </c>
      <c r="BI305" s="409">
        <v>61.35</v>
      </c>
      <c r="BJ305" s="409">
        <v>283.08</v>
      </c>
      <c r="BK305" s="409">
        <v>1331.04</v>
      </c>
      <c r="BL305" s="409">
        <v>123</v>
      </c>
      <c r="BM305" s="409"/>
      <c r="BN305" s="409"/>
      <c r="BO305" s="409"/>
      <c r="BP305" s="409"/>
      <c r="BQ305" s="409"/>
      <c r="BR305" s="409"/>
      <c r="BS305" s="409"/>
      <c r="BT305" s="409"/>
      <c r="BU305" s="409"/>
      <c r="BV305" s="409">
        <v>4511.2316965292657</v>
      </c>
      <c r="BW305" s="409"/>
      <c r="BX305" s="409"/>
      <c r="BY305" s="409"/>
      <c r="BZ305" s="409"/>
      <c r="CA305" s="409"/>
      <c r="CB305" s="409"/>
      <c r="CC305" s="409"/>
      <c r="CD305" s="409"/>
      <c r="CE305" s="409"/>
      <c r="CF305" s="409"/>
      <c r="CG305" s="409"/>
      <c r="CH305" s="409"/>
      <c r="CI305" s="409">
        <v>11855.1744</v>
      </c>
      <c r="CJ305" s="409">
        <v>-1288.9729500000012</v>
      </c>
      <c r="CK305" s="409"/>
      <c r="CL305" s="409"/>
      <c r="CM305" s="409"/>
      <c r="CN305" s="409"/>
      <c r="CO305" s="409">
        <v>-1426.2921900000008</v>
      </c>
      <c r="CP305" s="409">
        <v>138.07566000000014</v>
      </c>
      <c r="CQ305" s="409">
        <v>31</v>
      </c>
      <c r="CR305" s="409">
        <v>245.84005408351186</v>
      </c>
      <c r="CS305" s="409">
        <v>0</v>
      </c>
      <c r="CT305" s="409">
        <v>0</v>
      </c>
      <c r="CU305" s="409">
        <v>0</v>
      </c>
      <c r="CV305" s="409">
        <v>0</v>
      </c>
      <c r="CW305" s="409">
        <v>0</v>
      </c>
      <c r="CX305" s="409">
        <v>0</v>
      </c>
      <c r="CY305" s="409">
        <v>0</v>
      </c>
      <c r="CZ305" s="409">
        <v>71.706158784574654</v>
      </c>
      <c r="DA305" s="409">
        <v>0</v>
      </c>
      <c r="DB305" s="409">
        <v>0</v>
      </c>
      <c r="DC305" s="409">
        <v>181.97175640946034</v>
      </c>
      <c r="DD305" s="409">
        <v>0</v>
      </c>
      <c r="DE305" s="409">
        <v>0</v>
      </c>
      <c r="DF305" s="409">
        <v>0</v>
      </c>
      <c r="DG305" s="409">
        <v>24.687346947994683</v>
      </c>
      <c r="DH305" s="409">
        <v>0</v>
      </c>
      <c r="DI305" s="409">
        <v>0</v>
      </c>
      <c r="DJ305" s="409"/>
      <c r="DK305" s="409">
        <v>0</v>
      </c>
      <c r="DL305" s="409">
        <v>0</v>
      </c>
      <c r="DM305" s="409">
        <v>0</v>
      </c>
      <c r="DN305" s="409">
        <v>0</v>
      </c>
      <c r="DO305" s="409">
        <v>0</v>
      </c>
      <c r="DP305" s="409">
        <v>-1.6505340959727874</v>
      </c>
      <c r="DQ305" s="409">
        <v>0</v>
      </c>
      <c r="DR305" s="409">
        <v>-30.874673962544925</v>
      </c>
      <c r="DS305" s="409"/>
      <c r="DT305" s="409"/>
      <c r="DU305" s="409"/>
      <c r="DV305" s="409">
        <v>6692.2387626545078</v>
      </c>
      <c r="DW305" s="409">
        <v>0</v>
      </c>
      <c r="DX305" s="409">
        <v>0</v>
      </c>
      <c r="DY305" s="409">
        <v>-1426.292190000001</v>
      </c>
      <c r="DZ305" s="409">
        <v>138.07566000000043</v>
      </c>
      <c r="EA305" s="409">
        <v>0</v>
      </c>
      <c r="EB305" s="409">
        <v>0</v>
      </c>
      <c r="EC305" s="409">
        <v>-1534.0184886498109</v>
      </c>
      <c r="ED305" s="409">
        <v>0</v>
      </c>
      <c r="EE305" s="409">
        <v>0</v>
      </c>
      <c r="EF305" s="409">
        <v>0</v>
      </c>
      <c r="EG305" s="409">
        <v>0</v>
      </c>
      <c r="EH305" s="409">
        <v>0</v>
      </c>
      <c r="EI305" s="409">
        <v>0</v>
      </c>
      <c r="EJ305" s="409">
        <v>0</v>
      </c>
      <c r="EK305" s="409">
        <v>0</v>
      </c>
      <c r="EL305" s="409">
        <v>0</v>
      </c>
      <c r="EM305" s="409">
        <v>0</v>
      </c>
      <c r="EN305" s="409">
        <v>0</v>
      </c>
      <c r="EO305" s="409">
        <v>0</v>
      </c>
      <c r="EP305" s="409">
        <v>0</v>
      </c>
      <c r="EQ305" s="409">
        <v>0</v>
      </c>
      <c r="ER305" s="409">
        <v>0</v>
      </c>
      <c r="ES305" s="409">
        <v>0</v>
      </c>
      <c r="ET305" s="409">
        <v>0</v>
      </c>
      <c r="EU305" s="409">
        <v>0</v>
      </c>
      <c r="EV305" s="409">
        <v>254</v>
      </c>
      <c r="EW305" s="409">
        <v>0</v>
      </c>
      <c r="EX305" s="409">
        <v>0</v>
      </c>
      <c r="EY305" s="409">
        <v>0</v>
      </c>
      <c r="EZ305" s="409"/>
      <c r="FA305" s="409">
        <v>0</v>
      </c>
      <c r="FB305" s="409"/>
      <c r="FC305" s="409"/>
      <c r="FD305" s="409"/>
      <c r="FE305" s="409"/>
      <c r="FF305" s="409">
        <v>0</v>
      </c>
      <c r="FG305" s="409">
        <v>0</v>
      </c>
      <c r="FH305" s="409">
        <v>0</v>
      </c>
      <c r="FI305" s="409">
        <v>0</v>
      </c>
    </row>
    <row r="306" spans="1:165">
      <c r="A306" s="409">
        <v>304</v>
      </c>
      <c r="B306" s="409" t="s">
        <v>1035</v>
      </c>
      <c r="C306" s="409" t="s">
        <v>2252</v>
      </c>
      <c r="D306" s="409" t="s">
        <v>1991</v>
      </c>
      <c r="E306" s="409" t="s">
        <v>968</v>
      </c>
      <c r="F306" s="409" t="s">
        <v>968</v>
      </c>
      <c r="G306" s="409" t="s">
        <v>1323</v>
      </c>
      <c r="H306" s="409" t="s">
        <v>1323</v>
      </c>
      <c r="I306" s="409" t="s">
        <v>2237</v>
      </c>
      <c r="J306" s="409" t="s">
        <v>2245</v>
      </c>
      <c r="K306" s="835">
        <v>44621</v>
      </c>
      <c r="L306" s="409">
        <v>0</v>
      </c>
      <c r="M306" s="409">
        <v>0</v>
      </c>
      <c r="N306" s="409">
        <v>0.191</v>
      </c>
      <c r="O306" s="409">
        <v>0.191</v>
      </c>
      <c r="P306" s="409">
        <v>0.191</v>
      </c>
      <c r="Q306" s="409">
        <v>0.191</v>
      </c>
      <c r="R306" s="409"/>
      <c r="S306" s="409">
        <v>386.11</v>
      </c>
      <c r="T306" s="409">
        <v>243.39</v>
      </c>
      <c r="U306" s="409"/>
      <c r="V306" s="409">
        <v>120.2345</v>
      </c>
      <c r="W306" s="409">
        <v>120.2345</v>
      </c>
      <c r="X306" s="409">
        <v>111.91072</v>
      </c>
      <c r="Y306" s="409">
        <v>0</v>
      </c>
      <c r="Z306" s="409">
        <v>4.7527441958527419</v>
      </c>
      <c r="AA306" s="409">
        <v>0</v>
      </c>
      <c r="AB306" s="409">
        <v>0</v>
      </c>
      <c r="AC306" s="409">
        <v>0</v>
      </c>
      <c r="AD306" s="409">
        <v>13.429690219116511</v>
      </c>
      <c r="AE306" s="409">
        <v>46.990422101245329</v>
      </c>
      <c r="AF306" s="409">
        <v>46.486963757040279</v>
      </c>
      <c r="AG306" s="409">
        <v>0</v>
      </c>
      <c r="AH306" s="409">
        <v>0</v>
      </c>
      <c r="AI306" s="409">
        <v>0</v>
      </c>
      <c r="AJ306" s="409">
        <v>0</v>
      </c>
      <c r="AK306" s="409">
        <v>0</v>
      </c>
      <c r="AL306" s="409">
        <v>1.940386347653883</v>
      </c>
      <c r="AM306" s="409"/>
      <c r="AN306" s="409">
        <v>0.32792244125002518</v>
      </c>
      <c r="AO306" s="409">
        <v>0</v>
      </c>
      <c r="AP306" s="409">
        <v>0</v>
      </c>
      <c r="AQ306" s="409">
        <v>0</v>
      </c>
      <c r="AR306" s="409">
        <v>0</v>
      </c>
      <c r="AS306" s="409">
        <v>0</v>
      </c>
      <c r="AT306" s="409">
        <v>0</v>
      </c>
      <c r="AU306" s="409">
        <v>0</v>
      </c>
      <c r="AV306" s="409">
        <v>0</v>
      </c>
      <c r="AW306" s="409">
        <v>0</v>
      </c>
      <c r="AX306" s="409">
        <v>0</v>
      </c>
      <c r="AY306" s="409">
        <v>0</v>
      </c>
      <c r="AZ306" s="409">
        <v>0</v>
      </c>
      <c r="BA306" s="409"/>
      <c r="BB306" s="409">
        <v>0</v>
      </c>
      <c r="BC306" s="409">
        <v>0</v>
      </c>
      <c r="BD306" s="409">
        <v>0</v>
      </c>
      <c r="BE306" s="409">
        <v>0</v>
      </c>
      <c r="BF306" s="409">
        <v>0</v>
      </c>
      <c r="BG306" s="409">
        <v>6.306691903586497</v>
      </c>
      <c r="BH306" s="409">
        <v>0</v>
      </c>
      <c r="BI306" s="409">
        <v>0</v>
      </c>
      <c r="BJ306" s="409">
        <v>0</v>
      </c>
      <c r="BK306" s="409">
        <v>0</v>
      </c>
      <c r="BL306" s="409">
        <v>0</v>
      </c>
      <c r="BM306" s="409"/>
      <c r="BN306" s="409"/>
      <c r="BO306" s="409"/>
      <c r="BP306" s="409"/>
      <c r="BQ306" s="409"/>
      <c r="BR306" s="409"/>
      <c r="BS306" s="409"/>
      <c r="BT306" s="409"/>
      <c r="BU306" s="409"/>
      <c r="BV306" s="409">
        <v>52.793655660626776</v>
      </c>
      <c r="BW306" s="409"/>
      <c r="BX306" s="409"/>
      <c r="BY306" s="409"/>
      <c r="BZ306" s="409"/>
      <c r="CA306" s="409"/>
      <c r="CB306" s="409"/>
      <c r="CC306" s="409"/>
      <c r="CD306" s="409"/>
      <c r="CE306" s="409"/>
      <c r="CF306" s="409"/>
      <c r="CG306" s="409"/>
      <c r="CH306" s="409"/>
      <c r="CI306" s="409">
        <v>111.32480000000001</v>
      </c>
      <c r="CJ306" s="409">
        <v>-8.939700000000002</v>
      </c>
      <c r="CK306" s="409"/>
      <c r="CL306" s="409"/>
      <c r="CM306" s="409"/>
      <c r="CN306" s="409"/>
      <c r="CO306" s="409">
        <v>-9.9396400000000042</v>
      </c>
      <c r="CP306" s="409">
        <v>1.6158600000000016</v>
      </c>
      <c r="CQ306" s="409">
        <v>31</v>
      </c>
      <c r="CR306" s="409">
        <v>2.4483651977150913</v>
      </c>
      <c r="CS306" s="409">
        <v>0</v>
      </c>
      <c r="CT306" s="409">
        <v>0</v>
      </c>
      <c r="CU306" s="409">
        <v>0</v>
      </c>
      <c r="CV306" s="409">
        <v>0</v>
      </c>
      <c r="CW306" s="409">
        <v>0</v>
      </c>
      <c r="CX306" s="409">
        <v>0</v>
      </c>
      <c r="CY306" s="409">
        <v>0</v>
      </c>
      <c r="CZ306" s="409">
        <v>0.50348738906223822</v>
      </c>
      <c r="DA306" s="409">
        <v>0</v>
      </c>
      <c r="DB306" s="409">
        <v>0</v>
      </c>
      <c r="DC306" s="409">
        <v>2.1295634749222998</v>
      </c>
      <c r="DD306" s="409">
        <v>0</v>
      </c>
      <c r="DE306" s="409">
        <v>0</v>
      </c>
      <c r="DF306" s="409">
        <v>0</v>
      </c>
      <c r="DG306" s="409">
        <v>0.28890896802077037</v>
      </c>
      <c r="DH306" s="409">
        <v>0</v>
      </c>
      <c r="DI306" s="409">
        <v>-3.4661196522233872E-2</v>
      </c>
      <c r="DJ306" s="409"/>
      <c r="DK306" s="409">
        <v>0</v>
      </c>
      <c r="DL306" s="409">
        <v>0</v>
      </c>
      <c r="DM306" s="409">
        <v>0</v>
      </c>
      <c r="DN306" s="409">
        <v>0</v>
      </c>
      <c r="DO306" s="409">
        <v>-1.0883534306757259E-2</v>
      </c>
      <c r="DP306" s="409">
        <v>-1.9315728958446299E-2</v>
      </c>
      <c r="DQ306" s="409">
        <v>0</v>
      </c>
      <c r="DR306" s="409">
        <v>-0.40873417450276878</v>
      </c>
      <c r="DS306" s="409"/>
      <c r="DT306" s="409"/>
      <c r="DU306" s="409"/>
      <c r="DV306" s="409">
        <v>46.990422101245329</v>
      </c>
      <c r="DW306" s="409">
        <v>0</v>
      </c>
      <c r="DX306" s="409">
        <v>0</v>
      </c>
      <c r="DY306" s="409">
        <v>-9.9396400000000042</v>
      </c>
      <c r="DZ306" s="409">
        <v>1.6158599999999979</v>
      </c>
      <c r="EA306" s="409">
        <v>0</v>
      </c>
      <c r="EB306" s="409">
        <v>0</v>
      </c>
      <c r="EC306" s="409">
        <v>-10.771309699084412</v>
      </c>
      <c r="ED306" s="409">
        <v>0</v>
      </c>
      <c r="EE306" s="409">
        <v>0</v>
      </c>
      <c r="EF306" s="409">
        <v>0</v>
      </c>
      <c r="EG306" s="409">
        <v>0</v>
      </c>
      <c r="EH306" s="409">
        <v>0</v>
      </c>
      <c r="EI306" s="409">
        <v>0</v>
      </c>
      <c r="EJ306" s="409">
        <v>0</v>
      </c>
      <c r="EK306" s="409">
        <v>0</v>
      </c>
      <c r="EL306" s="409">
        <v>0</v>
      </c>
      <c r="EM306" s="409">
        <v>0</v>
      </c>
      <c r="EN306" s="409">
        <v>0</v>
      </c>
      <c r="EO306" s="409">
        <v>0</v>
      </c>
      <c r="EP306" s="409">
        <v>0</v>
      </c>
      <c r="EQ306" s="409">
        <v>0</v>
      </c>
      <c r="ER306" s="409">
        <v>0</v>
      </c>
      <c r="ES306" s="409">
        <v>0</v>
      </c>
      <c r="ET306" s="409">
        <v>0</v>
      </c>
      <c r="EU306" s="409">
        <v>0</v>
      </c>
      <c r="EV306" s="409">
        <v>254</v>
      </c>
      <c r="EW306" s="409">
        <v>0</v>
      </c>
      <c r="EX306" s="409">
        <v>0</v>
      </c>
      <c r="EY306" s="409">
        <v>0</v>
      </c>
      <c r="EZ306" s="409"/>
      <c r="FA306" s="409">
        <v>0</v>
      </c>
      <c r="FB306" s="409"/>
      <c r="FC306" s="409"/>
      <c r="FD306" s="409"/>
      <c r="FE306" s="409"/>
      <c r="FF306" s="409">
        <v>0</v>
      </c>
      <c r="FG306" s="409">
        <v>0</v>
      </c>
      <c r="FH306" s="409">
        <v>0</v>
      </c>
      <c r="FI306" s="409">
        <v>0</v>
      </c>
    </row>
    <row r="307" spans="1:165">
      <c r="A307" s="409">
        <v>305</v>
      </c>
      <c r="B307" s="409" t="s">
        <v>1035</v>
      </c>
      <c r="C307" s="409" t="s">
        <v>2252</v>
      </c>
      <c r="D307" s="409" t="s">
        <v>1991</v>
      </c>
      <c r="E307" s="409" t="s">
        <v>968</v>
      </c>
      <c r="F307" s="409" t="s">
        <v>968</v>
      </c>
      <c r="G307" s="409" t="s">
        <v>1323</v>
      </c>
      <c r="H307" s="409" t="s">
        <v>1323</v>
      </c>
      <c r="I307" s="409" t="s">
        <v>1323</v>
      </c>
      <c r="J307" s="409" t="s">
        <v>2245</v>
      </c>
      <c r="K307" s="835">
        <v>44621</v>
      </c>
      <c r="L307" s="409">
        <v>0</v>
      </c>
      <c r="M307" s="409">
        <v>0</v>
      </c>
      <c r="N307" s="409">
        <v>0</v>
      </c>
      <c r="O307" s="409">
        <v>0</v>
      </c>
      <c r="P307" s="409">
        <v>0</v>
      </c>
      <c r="Q307" s="409">
        <v>0</v>
      </c>
      <c r="R307" s="409"/>
      <c r="S307" s="409"/>
      <c r="T307" s="409"/>
      <c r="U307" s="409"/>
      <c r="V307" s="409"/>
      <c r="W307" s="409"/>
      <c r="X307" s="409"/>
      <c r="Y307" s="409"/>
      <c r="Z307" s="409"/>
      <c r="AA307" s="409">
        <v>0</v>
      </c>
      <c r="AB307" s="409"/>
      <c r="AC307" s="409"/>
      <c r="AD307" s="409"/>
      <c r="AE307" s="409"/>
      <c r="AF307" s="409"/>
      <c r="AG307" s="409"/>
      <c r="AH307" s="409"/>
      <c r="AI307" s="409"/>
      <c r="AJ307" s="409"/>
      <c r="AK307" s="409"/>
      <c r="AL307" s="409"/>
      <c r="AM307" s="409"/>
      <c r="AN307" s="409"/>
      <c r="AO307" s="409"/>
      <c r="AP307" s="409"/>
      <c r="AQ307" s="409"/>
      <c r="AR307" s="409"/>
      <c r="AS307" s="409"/>
      <c r="AT307" s="409"/>
      <c r="AU307" s="409"/>
      <c r="AV307" s="409"/>
      <c r="AW307" s="409"/>
      <c r="AX307" s="409"/>
      <c r="AY307" s="409"/>
      <c r="AZ307" s="409">
        <v>0</v>
      </c>
      <c r="BA307" s="409"/>
      <c r="BB307" s="409"/>
      <c r="BC307" s="409"/>
      <c r="BD307" s="409"/>
      <c r="BE307" s="409"/>
      <c r="BF307" s="409"/>
      <c r="BG307" s="409"/>
      <c r="BH307" s="409"/>
      <c r="BI307" s="409">
        <v>0</v>
      </c>
      <c r="BJ307" s="409">
        <v>0</v>
      </c>
      <c r="BK307" s="409">
        <v>0</v>
      </c>
      <c r="BL307" s="409">
        <v>1</v>
      </c>
      <c r="BM307" s="409"/>
      <c r="BN307" s="409"/>
      <c r="BO307" s="409"/>
      <c r="BP307" s="409"/>
      <c r="BQ307" s="409"/>
      <c r="BR307" s="409"/>
      <c r="BS307" s="409"/>
      <c r="BT307" s="409"/>
      <c r="BU307" s="409"/>
      <c r="BV307" s="409"/>
      <c r="BW307" s="409"/>
      <c r="BX307" s="409"/>
      <c r="BY307" s="409"/>
      <c r="BZ307" s="409"/>
      <c r="CA307" s="409"/>
      <c r="CB307" s="409"/>
      <c r="CC307" s="409"/>
      <c r="CD307" s="409"/>
      <c r="CE307" s="409"/>
      <c r="CF307" s="409"/>
      <c r="CG307" s="409"/>
      <c r="CH307" s="409"/>
      <c r="CI307" s="409"/>
      <c r="CJ307" s="409">
        <v>-0.03</v>
      </c>
      <c r="CK307" s="409"/>
      <c r="CL307" s="409"/>
      <c r="CM307" s="409"/>
      <c r="CN307" s="409"/>
      <c r="CO307" s="409">
        <v>0</v>
      </c>
      <c r="CP307" s="409">
        <v>0</v>
      </c>
      <c r="CQ307" s="409">
        <v>31</v>
      </c>
      <c r="CR307" s="409"/>
      <c r="CS307" s="409"/>
      <c r="CT307" s="409"/>
      <c r="CU307" s="409"/>
      <c r="CV307" s="409"/>
      <c r="CW307" s="409"/>
      <c r="CX307" s="409"/>
      <c r="CY307" s="409"/>
      <c r="CZ307" s="409"/>
      <c r="DA307" s="409"/>
      <c r="DB307" s="409"/>
      <c r="DC307" s="409"/>
      <c r="DD307" s="409"/>
      <c r="DE307" s="409"/>
      <c r="DF307" s="409"/>
      <c r="DG307" s="409"/>
      <c r="DH307" s="409"/>
      <c r="DI307" s="409"/>
      <c r="DJ307" s="409"/>
      <c r="DK307" s="409">
        <v>0</v>
      </c>
      <c r="DL307" s="409"/>
      <c r="DM307" s="409"/>
      <c r="DN307" s="409"/>
      <c r="DO307" s="409"/>
      <c r="DP307" s="409"/>
      <c r="DQ307" s="409"/>
      <c r="DR307" s="409"/>
      <c r="DS307" s="409"/>
      <c r="DT307" s="409"/>
      <c r="DU307" s="409"/>
      <c r="DV307" s="409"/>
      <c r="DW307" s="409"/>
      <c r="DX307" s="409"/>
      <c r="DY307" s="409"/>
      <c r="DZ307" s="409"/>
      <c r="EA307" s="409"/>
      <c r="EB307" s="409"/>
      <c r="EC307" s="409"/>
      <c r="ED307" s="409"/>
      <c r="EE307" s="409"/>
      <c r="EF307" s="409"/>
      <c r="EG307" s="409"/>
      <c r="EH307" s="409"/>
      <c r="EI307" s="409"/>
      <c r="EJ307" s="409"/>
      <c r="EK307" s="409"/>
      <c r="EL307" s="409"/>
      <c r="EM307" s="409"/>
      <c r="EN307" s="409"/>
      <c r="EO307" s="409"/>
      <c r="EP307" s="409"/>
      <c r="EQ307" s="409"/>
      <c r="ER307" s="409"/>
      <c r="ES307" s="409"/>
      <c r="ET307" s="409"/>
      <c r="EU307" s="409"/>
      <c r="EV307" s="409">
        <v>254</v>
      </c>
      <c r="EW307" s="409"/>
      <c r="EX307" s="409"/>
      <c r="EY307" s="409"/>
      <c r="EZ307" s="409"/>
      <c r="FA307" s="409">
        <v>0</v>
      </c>
      <c r="FB307" s="409"/>
      <c r="FC307" s="409"/>
      <c r="FD307" s="409"/>
      <c r="FE307" s="409"/>
      <c r="FF307" s="409">
        <v>0</v>
      </c>
      <c r="FG307" s="409">
        <v>0</v>
      </c>
      <c r="FH307" s="409">
        <v>0</v>
      </c>
      <c r="FI307" s="409">
        <v>0</v>
      </c>
    </row>
    <row r="308" spans="1:165">
      <c r="A308" s="409">
        <v>306</v>
      </c>
      <c r="B308" s="409" t="s">
        <v>1035</v>
      </c>
      <c r="C308" s="409" t="s">
        <v>2252</v>
      </c>
      <c r="D308" s="409" t="s">
        <v>1991</v>
      </c>
      <c r="E308" s="409" t="s">
        <v>968</v>
      </c>
      <c r="F308" s="409" t="s">
        <v>968</v>
      </c>
      <c r="G308" s="409" t="s">
        <v>1323</v>
      </c>
      <c r="H308" s="409" t="s">
        <v>1323</v>
      </c>
      <c r="I308" s="409" t="s">
        <v>2253</v>
      </c>
      <c r="J308" s="409" t="s">
        <v>2245</v>
      </c>
      <c r="K308" s="835">
        <v>44621</v>
      </c>
      <c r="L308" s="409">
        <v>0</v>
      </c>
      <c r="M308" s="409">
        <v>0</v>
      </c>
      <c r="N308" s="409">
        <v>2E-3</v>
      </c>
      <c r="O308" s="409">
        <v>2E-3</v>
      </c>
      <c r="P308" s="409">
        <v>2E-3</v>
      </c>
      <c r="Q308" s="409">
        <v>2E-3</v>
      </c>
      <c r="R308" s="409"/>
      <c r="S308" s="409">
        <v>1018.79</v>
      </c>
      <c r="T308" s="409">
        <v>243.39</v>
      </c>
      <c r="U308" s="409"/>
      <c r="V308" s="409">
        <v>2.5243600000000002</v>
      </c>
      <c r="W308" s="409">
        <v>2.5243600000000002</v>
      </c>
      <c r="X308" s="409">
        <v>2.2239399999999998</v>
      </c>
      <c r="Y308" s="409">
        <v>0</v>
      </c>
      <c r="Z308" s="409">
        <v>4.9766954930395201E-2</v>
      </c>
      <c r="AA308" s="409">
        <v>0</v>
      </c>
      <c r="AB308" s="409">
        <v>0</v>
      </c>
      <c r="AC308" s="409">
        <v>0</v>
      </c>
      <c r="AD308" s="409">
        <v>0.42187901721834603</v>
      </c>
      <c r="AE308" s="409">
        <v>1.4761387266510981</v>
      </c>
      <c r="AF308" s="409">
        <v>0.48677448960251601</v>
      </c>
      <c r="AG308" s="409">
        <v>0</v>
      </c>
      <c r="AH308" s="409">
        <v>0</v>
      </c>
      <c r="AI308" s="409">
        <v>0</v>
      </c>
      <c r="AJ308" s="409">
        <v>0</v>
      </c>
      <c r="AK308" s="409">
        <v>0</v>
      </c>
      <c r="AL308" s="409">
        <v>2.0318181650825998E-2</v>
      </c>
      <c r="AM308" s="409"/>
      <c r="AN308" s="409">
        <v>3.4337428403144001E-3</v>
      </c>
      <c r="AO308" s="409">
        <v>0</v>
      </c>
      <c r="AP308" s="409">
        <v>0</v>
      </c>
      <c r="AQ308" s="409">
        <v>0</v>
      </c>
      <c r="AR308" s="409">
        <v>0</v>
      </c>
      <c r="AS308" s="409">
        <v>0</v>
      </c>
      <c r="AT308" s="409">
        <v>0</v>
      </c>
      <c r="AU308" s="409">
        <v>0</v>
      </c>
      <c r="AV308" s="409">
        <v>0</v>
      </c>
      <c r="AW308" s="409">
        <v>0</v>
      </c>
      <c r="AX308" s="409">
        <v>0</v>
      </c>
      <c r="AY308" s="409">
        <v>0</v>
      </c>
      <c r="AZ308" s="409">
        <v>0</v>
      </c>
      <c r="BA308" s="409"/>
      <c r="BB308" s="409">
        <v>0</v>
      </c>
      <c r="BC308" s="409">
        <v>0</v>
      </c>
      <c r="BD308" s="409">
        <v>0</v>
      </c>
      <c r="BE308" s="409">
        <v>0</v>
      </c>
      <c r="BF308" s="409">
        <v>0</v>
      </c>
      <c r="BG308" s="409">
        <v>6.6038658676298392E-2</v>
      </c>
      <c r="BH308" s="409">
        <v>0</v>
      </c>
      <c r="BI308" s="409">
        <v>0</v>
      </c>
      <c r="BJ308" s="409">
        <v>0</v>
      </c>
      <c r="BK308" s="409">
        <v>0</v>
      </c>
      <c r="BL308" s="409">
        <v>0</v>
      </c>
      <c r="BM308" s="409"/>
      <c r="BN308" s="409"/>
      <c r="BO308" s="409"/>
      <c r="BP308" s="409"/>
      <c r="BQ308" s="409"/>
      <c r="BR308" s="409"/>
      <c r="BS308" s="409"/>
      <c r="BT308" s="409"/>
      <c r="BU308" s="409"/>
      <c r="BV308" s="409">
        <v>0.55281314827881445</v>
      </c>
      <c r="BW308" s="409"/>
      <c r="BX308" s="409"/>
      <c r="BY308" s="409"/>
      <c r="BZ308" s="409"/>
      <c r="CA308" s="409"/>
      <c r="CB308" s="409"/>
      <c r="CC308" s="409"/>
      <c r="CD308" s="409"/>
      <c r="CE308" s="409"/>
      <c r="CF308" s="409"/>
      <c r="CG308" s="409"/>
      <c r="CH308" s="409"/>
      <c r="CI308" s="409">
        <v>0</v>
      </c>
      <c r="CJ308" s="409">
        <v>-2.5543599999999995</v>
      </c>
      <c r="CK308" s="409"/>
      <c r="CL308" s="409"/>
      <c r="CM308" s="409"/>
      <c r="CN308" s="409"/>
      <c r="CO308" s="409">
        <v>-0.3173399999999999</v>
      </c>
      <c r="CP308" s="409">
        <v>1.6920000000000015E-2</v>
      </c>
      <c r="CQ308" s="409">
        <v>31</v>
      </c>
      <c r="CR308" s="409">
        <v>3.7968067562393015E-2</v>
      </c>
      <c r="CS308" s="409">
        <v>0</v>
      </c>
      <c r="CT308" s="409">
        <v>0</v>
      </c>
      <c r="CU308" s="409">
        <v>0</v>
      </c>
      <c r="CV308" s="409">
        <v>0</v>
      </c>
      <c r="CW308" s="409">
        <v>0</v>
      </c>
      <c r="CX308" s="409">
        <v>0</v>
      </c>
      <c r="CY308" s="409">
        <v>0</v>
      </c>
      <c r="CZ308" s="409">
        <v>1.581650517724198E-2</v>
      </c>
      <c r="DA308" s="409">
        <v>0</v>
      </c>
      <c r="DB308" s="409">
        <v>0</v>
      </c>
      <c r="DC308" s="409">
        <v>2.2299093978244033E-2</v>
      </c>
      <c r="DD308" s="409">
        <v>0</v>
      </c>
      <c r="DE308" s="409">
        <v>0</v>
      </c>
      <c r="DF308" s="409">
        <v>0</v>
      </c>
      <c r="DG308" s="409">
        <v>3.0252247960290135E-3</v>
      </c>
      <c r="DH308" s="409">
        <v>0</v>
      </c>
      <c r="DI308" s="409">
        <v>-3.6294446620139392E-4</v>
      </c>
      <c r="DJ308" s="409"/>
      <c r="DK308" s="409">
        <v>0</v>
      </c>
      <c r="DL308" s="409">
        <v>0</v>
      </c>
      <c r="DM308" s="409">
        <v>0</v>
      </c>
      <c r="DN308" s="409">
        <v>0</v>
      </c>
      <c r="DO308" s="409">
        <v>-1.1396371001839989E-4</v>
      </c>
      <c r="DP308" s="409">
        <v>-2.0225894197326011E-4</v>
      </c>
      <c r="DQ308" s="409">
        <v>0</v>
      </c>
      <c r="DR308" s="409">
        <v>-2.4935892709286997E-3</v>
      </c>
      <c r="DS308" s="409"/>
      <c r="DT308" s="409"/>
      <c r="DU308" s="409"/>
      <c r="DV308" s="409">
        <v>1.4761387266510981</v>
      </c>
      <c r="DW308" s="409">
        <v>0</v>
      </c>
      <c r="DX308" s="409">
        <v>0</v>
      </c>
      <c r="DY308" s="409">
        <v>-0.31734000000000018</v>
      </c>
      <c r="DZ308" s="409">
        <v>1.6920000000000046E-2</v>
      </c>
      <c r="EA308" s="409">
        <v>0</v>
      </c>
      <c r="EB308" s="409">
        <v>0</v>
      </c>
      <c r="EC308" s="409">
        <v>-0.33836570672451227</v>
      </c>
      <c r="ED308" s="409">
        <v>0</v>
      </c>
      <c r="EE308" s="409">
        <v>0</v>
      </c>
      <c r="EF308" s="409">
        <v>0</v>
      </c>
      <c r="EG308" s="409">
        <v>0</v>
      </c>
      <c r="EH308" s="409">
        <v>0</v>
      </c>
      <c r="EI308" s="409">
        <v>0</v>
      </c>
      <c r="EJ308" s="409">
        <v>0</v>
      </c>
      <c r="EK308" s="409">
        <v>0</v>
      </c>
      <c r="EL308" s="409">
        <v>0</v>
      </c>
      <c r="EM308" s="409">
        <v>0</v>
      </c>
      <c r="EN308" s="409">
        <v>0</v>
      </c>
      <c r="EO308" s="409">
        <v>0</v>
      </c>
      <c r="EP308" s="409">
        <v>0</v>
      </c>
      <c r="EQ308" s="409">
        <v>0</v>
      </c>
      <c r="ER308" s="409">
        <v>0</v>
      </c>
      <c r="ES308" s="409">
        <v>0</v>
      </c>
      <c r="ET308" s="409">
        <v>0</v>
      </c>
      <c r="EU308" s="409">
        <v>0</v>
      </c>
      <c r="EV308" s="409">
        <v>254</v>
      </c>
      <c r="EW308" s="409">
        <v>0</v>
      </c>
      <c r="EX308" s="409">
        <v>0</v>
      </c>
      <c r="EY308" s="409">
        <v>0</v>
      </c>
      <c r="EZ308" s="409"/>
      <c r="FA308" s="409">
        <v>0</v>
      </c>
      <c r="FB308" s="409"/>
      <c r="FC308" s="409"/>
      <c r="FD308" s="409"/>
      <c r="FE308" s="409"/>
      <c r="FF308" s="409">
        <v>0</v>
      </c>
      <c r="FG308" s="409">
        <v>0</v>
      </c>
      <c r="FH308" s="409">
        <v>0</v>
      </c>
      <c r="FI308" s="409">
        <v>0</v>
      </c>
    </row>
    <row r="309" spans="1:165">
      <c r="A309" s="409">
        <v>307</v>
      </c>
      <c r="B309" s="409" t="s">
        <v>1035</v>
      </c>
      <c r="C309" s="409" t="s">
        <v>2244</v>
      </c>
      <c r="D309" s="409" t="s">
        <v>1994</v>
      </c>
      <c r="E309" s="409" t="s">
        <v>969</v>
      </c>
      <c r="F309" s="409" t="s">
        <v>1323</v>
      </c>
      <c r="G309" s="409" t="s">
        <v>1323</v>
      </c>
      <c r="H309" s="409" t="s">
        <v>1323</v>
      </c>
      <c r="I309" s="409" t="s">
        <v>1323</v>
      </c>
      <c r="J309" s="409" t="s">
        <v>2245</v>
      </c>
      <c r="K309" s="835">
        <v>44621</v>
      </c>
      <c r="L309" s="409">
        <v>0</v>
      </c>
      <c r="M309" s="409">
        <v>0</v>
      </c>
      <c r="N309" s="409">
        <v>1.3620000000000001</v>
      </c>
      <c r="O309" s="409">
        <v>1.3620000000000001</v>
      </c>
      <c r="P309" s="409">
        <v>1.3620000000000001</v>
      </c>
      <c r="Q309" s="409">
        <v>1.3620000000000001</v>
      </c>
      <c r="R309" s="409"/>
      <c r="S309" s="409">
        <v>597.01</v>
      </c>
      <c r="T309" s="409">
        <v>243.39</v>
      </c>
      <c r="U309" s="409"/>
      <c r="V309" s="409">
        <v>1144.6248000000001</v>
      </c>
      <c r="W309" s="409">
        <v>1144.6248000000001</v>
      </c>
      <c r="X309" s="409">
        <v>1036.8633600000001</v>
      </c>
      <c r="Y309" s="409">
        <v>0</v>
      </c>
      <c r="Z309" s="409">
        <v>33.891296307599134</v>
      </c>
      <c r="AA309" s="409">
        <v>0</v>
      </c>
      <c r="AB309" s="409">
        <v>0</v>
      </c>
      <c r="AC309" s="409">
        <v>0</v>
      </c>
      <c r="AD309" s="409">
        <v>159.61150736053943</v>
      </c>
      <c r="AE309" s="409">
        <v>558.47247072700441</v>
      </c>
      <c r="AF309" s="409">
        <v>331.49342741931343</v>
      </c>
      <c r="AG309" s="409">
        <v>0</v>
      </c>
      <c r="AH309" s="409">
        <v>0</v>
      </c>
      <c r="AI309" s="409">
        <v>0</v>
      </c>
      <c r="AJ309" s="409">
        <v>0</v>
      </c>
      <c r="AK309" s="409">
        <v>0</v>
      </c>
      <c r="AL309" s="409">
        <v>13.836681704212506</v>
      </c>
      <c r="AM309" s="409"/>
      <c r="AN309" s="409">
        <v>2.3383788742541065</v>
      </c>
      <c r="AO309" s="409">
        <v>0</v>
      </c>
      <c r="AP309" s="409">
        <v>0</v>
      </c>
      <c r="AQ309" s="409">
        <v>0</v>
      </c>
      <c r="AR309" s="409">
        <v>0</v>
      </c>
      <c r="AS309" s="409">
        <v>0</v>
      </c>
      <c r="AT309" s="409">
        <v>0</v>
      </c>
      <c r="AU309" s="409">
        <v>0</v>
      </c>
      <c r="AV309" s="409">
        <v>0</v>
      </c>
      <c r="AW309" s="409">
        <v>0</v>
      </c>
      <c r="AX309" s="409">
        <v>0</v>
      </c>
      <c r="AY309" s="409">
        <v>0</v>
      </c>
      <c r="AZ309" s="409">
        <v>0</v>
      </c>
      <c r="BA309" s="409"/>
      <c r="BB309" s="409">
        <v>0</v>
      </c>
      <c r="BC309" s="409">
        <v>0</v>
      </c>
      <c r="BD309" s="409">
        <v>0</v>
      </c>
      <c r="BE309" s="409">
        <v>0</v>
      </c>
      <c r="BF309" s="409">
        <v>0</v>
      </c>
      <c r="BG309" s="409">
        <v>44.97232655855921</v>
      </c>
      <c r="BH309" s="409">
        <v>0</v>
      </c>
      <c r="BI309" s="409">
        <v>0</v>
      </c>
      <c r="BJ309" s="409">
        <v>0</v>
      </c>
      <c r="BK309" s="409">
        <v>0</v>
      </c>
      <c r="BL309" s="409">
        <v>4</v>
      </c>
      <c r="BM309" s="409"/>
      <c r="BN309" s="409"/>
      <c r="BO309" s="409"/>
      <c r="BP309" s="409"/>
      <c r="BQ309" s="409"/>
      <c r="BR309" s="409"/>
      <c r="BS309" s="409"/>
      <c r="BT309" s="409"/>
      <c r="BU309" s="409"/>
      <c r="BV309" s="409">
        <v>376.46575397787262</v>
      </c>
      <c r="BW309" s="409"/>
      <c r="BX309" s="409"/>
      <c r="BY309" s="409"/>
      <c r="BZ309" s="409"/>
      <c r="CA309" s="409"/>
      <c r="CB309" s="409"/>
      <c r="CC309" s="409"/>
      <c r="CD309" s="409"/>
      <c r="CE309" s="409"/>
      <c r="CF309" s="409"/>
      <c r="CG309" s="409"/>
      <c r="CH309" s="409"/>
      <c r="CI309" s="409">
        <v>1035.3408000000002</v>
      </c>
      <c r="CJ309" s="409">
        <v>-109.31399999999985</v>
      </c>
      <c r="CK309" s="409"/>
      <c r="CL309" s="409"/>
      <c r="CM309" s="409"/>
      <c r="CN309" s="409"/>
      <c r="CO309" s="409">
        <v>-119.28395999999999</v>
      </c>
      <c r="CP309" s="409">
        <v>11.522520000000013</v>
      </c>
      <c r="CQ309" s="409">
        <v>31</v>
      </c>
      <c r="CR309" s="409">
        <v>20.258146940781103</v>
      </c>
      <c r="CS309" s="409">
        <v>0</v>
      </c>
      <c r="CT309" s="409">
        <v>0</v>
      </c>
      <c r="CU309" s="409">
        <v>0</v>
      </c>
      <c r="CV309" s="409">
        <v>0</v>
      </c>
      <c r="CW309" s="409">
        <v>0</v>
      </c>
      <c r="CX309" s="409">
        <v>0</v>
      </c>
      <c r="CY309" s="409">
        <v>0</v>
      </c>
      <c r="CZ309" s="409">
        <v>5.9839340888787831</v>
      </c>
      <c r="DA309" s="409">
        <v>0</v>
      </c>
      <c r="DB309" s="409">
        <v>0</v>
      </c>
      <c r="DC309" s="409">
        <v>15.185682999184166</v>
      </c>
      <c r="DD309" s="409">
        <v>0</v>
      </c>
      <c r="DE309" s="409">
        <v>0</v>
      </c>
      <c r="DF309" s="409">
        <v>0</v>
      </c>
      <c r="DG309" s="409">
        <v>2.0601780860957533</v>
      </c>
      <c r="DH309" s="409">
        <v>0</v>
      </c>
      <c r="DI309" s="409">
        <v>-0.24716518148315458</v>
      </c>
      <c r="DJ309" s="409"/>
      <c r="DK309" s="409">
        <v>0</v>
      </c>
      <c r="DL309" s="409">
        <v>0</v>
      </c>
      <c r="DM309" s="409">
        <v>0</v>
      </c>
      <c r="DN309" s="409">
        <v>0</v>
      </c>
      <c r="DO309" s="409">
        <v>-7.7609286522529075E-2</v>
      </c>
      <c r="DP309" s="409">
        <v>-0.13773833948379011</v>
      </c>
      <c r="DQ309" s="409">
        <v>0</v>
      </c>
      <c r="DR309" s="409">
        <v>-2.5091354258880307</v>
      </c>
      <c r="DS309" s="409"/>
      <c r="DT309" s="409"/>
      <c r="DU309" s="409"/>
      <c r="DV309" s="409">
        <v>558.47247072700441</v>
      </c>
      <c r="DW309" s="409">
        <v>0</v>
      </c>
      <c r="DX309" s="409">
        <v>0</v>
      </c>
      <c r="DY309" s="409">
        <v>-119.28395999999998</v>
      </c>
      <c r="DZ309" s="409">
        <v>11.522519999999986</v>
      </c>
      <c r="EA309" s="409">
        <v>0</v>
      </c>
      <c r="EB309" s="409">
        <v>0</v>
      </c>
      <c r="EC309" s="409">
        <v>-128.01502245824651</v>
      </c>
      <c r="ED309" s="409">
        <v>0</v>
      </c>
      <c r="EE309" s="409">
        <v>0</v>
      </c>
      <c r="EF309" s="409">
        <v>0</v>
      </c>
      <c r="EG309" s="409">
        <v>0</v>
      </c>
      <c r="EH309" s="409">
        <v>0</v>
      </c>
      <c r="EI309" s="409">
        <v>0</v>
      </c>
      <c r="EJ309" s="409">
        <v>0</v>
      </c>
      <c r="EK309" s="409">
        <v>0</v>
      </c>
      <c r="EL309" s="409">
        <v>0</v>
      </c>
      <c r="EM309" s="409">
        <v>0</v>
      </c>
      <c r="EN309" s="409">
        <v>0</v>
      </c>
      <c r="EO309" s="409">
        <v>0</v>
      </c>
      <c r="EP309" s="409">
        <v>0</v>
      </c>
      <c r="EQ309" s="409">
        <v>0</v>
      </c>
      <c r="ER309" s="409">
        <v>0</v>
      </c>
      <c r="ES309" s="409">
        <v>0</v>
      </c>
      <c r="ET309" s="409">
        <v>0</v>
      </c>
      <c r="EU309" s="409">
        <v>0</v>
      </c>
      <c r="EV309" s="409">
        <v>254</v>
      </c>
      <c r="EW309" s="409">
        <v>0</v>
      </c>
      <c r="EX309" s="409">
        <v>0</v>
      </c>
      <c r="EY309" s="409">
        <v>0</v>
      </c>
      <c r="EZ309" s="409"/>
      <c r="FA309" s="409">
        <v>0</v>
      </c>
      <c r="FB309" s="409"/>
      <c r="FC309" s="409"/>
      <c r="FD309" s="409"/>
      <c r="FE309" s="409"/>
      <c r="FF309" s="409">
        <v>0</v>
      </c>
      <c r="FG309" s="409">
        <v>0</v>
      </c>
      <c r="FH309" s="409">
        <v>0</v>
      </c>
      <c r="FI309" s="409">
        <v>0</v>
      </c>
    </row>
    <row r="310" spans="1:165">
      <c r="A310" s="409">
        <v>308</v>
      </c>
      <c r="B310" s="409" t="s">
        <v>1035</v>
      </c>
      <c r="C310" s="409" t="s">
        <v>2251</v>
      </c>
      <c r="D310" s="409" t="s">
        <v>596</v>
      </c>
      <c r="E310" s="409" t="s">
        <v>969</v>
      </c>
      <c r="F310" s="409" t="s">
        <v>1323</v>
      </c>
      <c r="G310" s="409" t="s">
        <v>1323</v>
      </c>
      <c r="H310" s="409" t="s">
        <v>1323</v>
      </c>
      <c r="I310" s="409" t="s">
        <v>972</v>
      </c>
      <c r="J310" s="409" t="s">
        <v>2245</v>
      </c>
      <c r="K310" s="835">
        <v>44621</v>
      </c>
      <c r="L310" s="409">
        <v>0</v>
      </c>
      <c r="M310" s="409">
        <v>0</v>
      </c>
      <c r="N310" s="409">
        <v>0.21</v>
      </c>
      <c r="O310" s="409">
        <v>0.21</v>
      </c>
      <c r="P310" s="409">
        <v>0.21</v>
      </c>
      <c r="Q310" s="409">
        <v>0.21</v>
      </c>
      <c r="R310" s="409"/>
      <c r="S310" s="409">
        <v>2773.91</v>
      </c>
      <c r="T310" s="409">
        <v>243.39</v>
      </c>
      <c r="U310" s="409"/>
      <c r="V310" s="409">
        <v>633.63299999999992</v>
      </c>
      <c r="W310" s="409">
        <v>633.63299999999992</v>
      </c>
      <c r="X310" s="409">
        <v>545.44769999999994</v>
      </c>
      <c r="Y310" s="409">
        <v>0</v>
      </c>
      <c r="Z310" s="409">
        <v>4.5462113328915992</v>
      </c>
      <c r="AA310" s="409">
        <v>0</v>
      </c>
      <c r="AB310" s="409">
        <v>0</v>
      </c>
      <c r="AC310" s="409">
        <v>0</v>
      </c>
      <c r="AD310" s="409">
        <v>151.30657904591544</v>
      </c>
      <c r="AE310" s="409">
        <v>421.20658645742668</v>
      </c>
      <c r="AF310" s="409">
        <v>51.111321408264175</v>
      </c>
      <c r="AG310" s="409">
        <v>0</v>
      </c>
      <c r="AH310" s="409">
        <v>0</v>
      </c>
      <c r="AI310" s="409">
        <v>0</v>
      </c>
      <c r="AJ310" s="409">
        <v>0</v>
      </c>
      <c r="AK310" s="409">
        <v>0</v>
      </c>
      <c r="AL310" s="409">
        <v>2.1334090733367299</v>
      </c>
      <c r="AM310" s="409"/>
      <c r="AN310" s="409">
        <v>0.14567248947201006</v>
      </c>
      <c r="AO310" s="409">
        <v>0</v>
      </c>
      <c r="AP310" s="409">
        <v>0</v>
      </c>
      <c r="AQ310" s="409">
        <v>0</v>
      </c>
      <c r="AR310" s="409">
        <v>0</v>
      </c>
      <c r="AS310" s="409">
        <v>0</v>
      </c>
      <c r="AT310" s="409">
        <v>0</v>
      </c>
      <c r="AU310" s="409">
        <v>0</v>
      </c>
      <c r="AV310" s="409">
        <v>0</v>
      </c>
      <c r="AW310" s="409">
        <v>0</v>
      </c>
      <c r="AX310" s="409">
        <v>0</v>
      </c>
      <c r="AY310" s="409">
        <v>0</v>
      </c>
      <c r="AZ310" s="409">
        <v>0</v>
      </c>
      <c r="BA310" s="409"/>
      <c r="BB310" s="409">
        <v>0</v>
      </c>
      <c r="BC310" s="409">
        <v>0</v>
      </c>
      <c r="BD310" s="409">
        <v>0</v>
      </c>
      <c r="BE310" s="409">
        <v>0</v>
      </c>
      <c r="BF310" s="409">
        <v>0</v>
      </c>
      <c r="BG310" s="409">
        <v>3.183417075538518</v>
      </c>
      <c r="BH310" s="409">
        <v>0</v>
      </c>
      <c r="BI310" s="409">
        <v>0</v>
      </c>
      <c r="BJ310" s="409">
        <v>0</v>
      </c>
      <c r="BK310" s="409">
        <v>0</v>
      </c>
      <c r="BL310" s="409">
        <v>0</v>
      </c>
      <c r="BM310" s="409"/>
      <c r="BN310" s="409"/>
      <c r="BO310" s="409"/>
      <c r="BP310" s="409"/>
      <c r="BQ310" s="409"/>
      <c r="BR310" s="409"/>
      <c r="BS310" s="409"/>
      <c r="BT310" s="409"/>
      <c r="BU310" s="409"/>
      <c r="BV310" s="409">
        <v>54.294738483802689</v>
      </c>
      <c r="BW310" s="409"/>
      <c r="BX310" s="409"/>
      <c r="BY310" s="409"/>
      <c r="BZ310" s="409"/>
      <c r="CA310" s="409"/>
      <c r="CB310" s="409"/>
      <c r="CC310" s="409"/>
      <c r="CD310" s="409"/>
      <c r="CE310" s="409"/>
      <c r="CF310" s="409"/>
      <c r="CG310" s="409"/>
      <c r="CH310" s="409"/>
      <c r="CI310" s="409">
        <v>545.44769999999994</v>
      </c>
      <c r="CJ310" s="409">
        <v>-88.215299999999957</v>
      </c>
      <c r="CK310" s="409"/>
      <c r="CL310" s="409"/>
      <c r="CM310" s="409"/>
      <c r="CN310" s="409"/>
      <c r="CO310" s="409">
        <v>-89.961899999999972</v>
      </c>
      <c r="CP310" s="409">
        <v>1.7766000000000015</v>
      </c>
      <c r="CQ310" s="409">
        <v>31</v>
      </c>
      <c r="CR310" s="409">
        <v>8.3646224016490294</v>
      </c>
      <c r="CS310" s="409">
        <v>0</v>
      </c>
      <c r="CT310" s="409">
        <v>0</v>
      </c>
      <c r="CU310" s="409">
        <v>0</v>
      </c>
      <c r="CV310" s="409">
        <v>0</v>
      </c>
      <c r="CW310" s="409">
        <v>0</v>
      </c>
      <c r="CX310" s="409">
        <v>0</v>
      </c>
      <c r="CY310" s="409">
        <v>0</v>
      </c>
      <c r="CZ310" s="409">
        <v>5.6725771919390695</v>
      </c>
      <c r="DA310" s="409">
        <v>0</v>
      </c>
      <c r="DB310" s="409">
        <v>0</v>
      </c>
      <c r="DC310" s="409">
        <v>2.3414048677156245</v>
      </c>
      <c r="DD310" s="409">
        <v>0</v>
      </c>
      <c r="DE310" s="409">
        <v>0</v>
      </c>
      <c r="DF310" s="409">
        <v>0</v>
      </c>
      <c r="DG310" s="409">
        <v>0.14583203938512268</v>
      </c>
      <c r="DH310" s="409">
        <v>0</v>
      </c>
      <c r="DI310" s="409">
        <v>-3.3154976987495921E-2</v>
      </c>
      <c r="DJ310" s="409"/>
      <c r="DK310" s="409">
        <v>0</v>
      </c>
      <c r="DL310" s="409">
        <v>0</v>
      </c>
      <c r="DM310" s="409">
        <v>0</v>
      </c>
      <c r="DN310" s="409">
        <v>0</v>
      </c>
      <c r="DO310" s="409">
        <v>-1.1966189551932072E-2</v>
      </c>
      <c r="DP310" s="409">
        <v>-8.5805970235448281E-3</v>
      </c>
      <c r="DQ310" s="409">
        <v>0</v>
      </c>
      <c r="DR310" s="409">
        <v>0.25851006617220329</v>
      </c>
      <c r="DS310" s="409"/>
      <c r="DT310" s="409"/>
      <c r="DU310" s="409"/>
      <c r="DV310" s="409">
        <v>421.20658645742668</v>
      </c>
      <c r="DW310" s="409">
        <v>0</v>
      </c>
      <c r="DX310" s="409">
        <v>0</v>
      </c>
      <c r="DY310" s="409">
        <v>-89.961899999999957</v>
      </c>
      <c r="DZ310" s="409">
        <v>1.7765999999999948</v>
      </c>
      <c r="EA310" s="409">
        <v>0</v>
      </c>
      <c r="EB310" s="409">
        <v>0</v>
      </c>
      <c r="EC310" s="409">
        <v>-96.550454053206295</v>
      </c>
      <c r="ED310" s="409">
        <v>0</v>
      </c>
      <c r="EE310" s="409">
        <v>0</v>
      </c>
      <c r="EF310" s="409">
        <v>0</v>
      </c>
      <c r="EG310" s="409">
        <v>0</v>
      </c>
      <c r="EH310" s="409">
        <v>0</v>
      </c>
      <c r="EI310" s="409">
        <v>0</v>
      </c>
      <c r="EJ310" s="409">
        <v>0</v>
      </c>
      <c r="EK310" s="409">
        <v>0</v>
      </c>
      <c r="EL310" s="409">
        <v>0</v>
      </c>
      <c r="EM310" s="409">
        <v>0</v>
      </c>
      <c r="EN310" s="409">
        <v>0</v>
      </c>
      <c r="EO310" s="409">
        <v>0</v>
      </c>
      <c r="EP310" s="409">
        <v>0</v>
      </c>
      <c r="EQ310" s="409">
        <v>0</v>
      </c>
      <c r="ER310" s="409">
        <v>0</v>
      </c>
      <c r="ES310" s="409">
        <v>0</v>
      </c>
      <c r="ET310" s="409">
        <v>0</v>
      </c>
      <c r="EU310" s="409">
        <v>0</v>
      </c>
      <c r="EV310" s="409">
        <v>254</v>
      </c>
      <c r="EW310" s="409">
        <v>0</v>
      </c>
      <c r="EX310" s="409">
        <v>0</v>
      </c>
      <c r="EY310" s="409">
        <v>0</v>
      </c>
      <c r="EZ310" s="409"/>
      <c r="FA310" s="409">
        <v>0</v>
      </c>
      <c r="FB310" s="409"/>
      <c r="FC310" s="409"/>
      <c r="FD310" s="409"/>
      <c r="FE310" s="409"/>
      <c r="FF310" s="409">
        <v>0</v>
      </c>
      <c r="FG310" s="409">
        <v>0</v>
      </c>
      <c r="FH310" s="409">
        <v>0</v>
      </c>
      <c r="FI310" s="409">
        <v>0</v>
      </c>
    </row>
    <row r="311" spans="1:165">
      <c r="A311" s="409">
        <v>309</v>
      </c>
      <c r="B311" s="409" t="s">
        <v>1035</v>
      </c>
      <c r="C311" s="409" t="s">
        <v>2251</v>
      </c>
      <c r="D311" s="409" t="s">
        <v>596</v>
      </c>
      <c r="E311" s="409" t="s">
        <v>969</v>
      </c>
      <c r="F311" s="409" t="s">
        <v>1323</v>
      </c>
      <c r="G311" s="409" t="s">
        <v>1323</v>
      </c>
      <c r="H311" s="409" t="s">
        <v>1323</v>
      </c>
      <c r="I311" s="409" t="s">
        <v>2237</v>
      </c>
      <c r="J311" s="409" t="s">
        <v>2245</v>
      </c>
      <c r="K311" s="835">
        <v>44621</v>
      </c>
      <c r="L311" s="409">
        <v>0</v>
      </c>
      <c r="M311" s="409">
        <v>0</v>
      </c>
      <c r="N311" s="409">
        <v>27.555</v>
      </c>
      <c r="O311" s="409">
        <v>27.555</v>
      </c>
      <c r="P311" s="409">
        <v>27.555</v>
      </c>
      <c r="Q311" s="409">
        <v>27.555</v>
      </c>
      <c r="R311" s="409"/>
      <c r="S311" s="409">
        <v>47.66</v>
      </c>
      <c r="T311" s="409">
        <v>243.39</v>
      </c>
      <c r="U311" s="409"/>
      <c r="V311" s="409">
        <v>8019.8827499999989</v>
      </c>
      <c r="W311" s="409">
        <v>8019.8827499999989</v>
      </c>
      <c r="X311" s="409">
        <v>8267.0511000000006</v>
      </c>
      <c r="Y311" s="409">
        <v>0</v>
      </c>
      <c r="Z311" s="409">
        <v>596.52787275156197</v>
      </c>
      <c r="AA311" s="409">
        <v>0</v>
      </c>
      <c r="AB311" s="409">
        <v>0</v>
      </c>
      <c r="AC311" s="409">
        <v>0</v>
      </c>
      <c r="AD311" s="409">
        <v>0</v>
      </c>
      <c r="AE311" s="409">
        <v>0</v>
      </c>
      <c r="AF311" s="409">
        <v>6706.5355304986642</v>
      </c>
      <c r="AG311" s="409">
        <v>0</v>
      </c>
      <c r="AH311" s="409">
        <v>0</v>
      </c>
      <c r="AI311" s="409">
        <v>0</v>
      </c>
      <c r="AJ311" s="409">
        <v>0</v>
      </c>
      <c r="AK311" s="409">
        <v>0</v>
      </c>
      <c r="AL311" s="409">
        <v>279.9337476942552</v>
      </c>
      <c r="AM311" s="409"/>
      <c r="AN311" s="409">
        <v>19.114311654291605</v>
      </c>
      <c r="AO311" s="409">
        <v>0</v>
      </c>
      <c r="AP311" s="409">
        <v>0</v>
      </c>
      <c r="AQ311" s="409">
        <v>0</v>
      </c>
      <c r="AR311" s="409">
        <v>0</v>
      </c>
      <c r="AS311" s="409">
        <v>0</v>
      </c>
      <c r="AT311" s="409">
        <v>0</v>
      </c>
      <c r="AU311" s="409">
        <v>0</v>
      </c>
      <c r="AV311" s="409">
        <v>0</v>
      </c>
      <c r="AW311" s="409">
        <v>0</v>
      </c>
      <c r="AX311" s="409">
        <v>0</v>
      </c>
      <c r="AY311" s="409">
        <v>0</v>
      </c>
      <c r="AZ311" s="409">
        <v>0</v>
      </c>
      <c r="BA311" s="409"/>
      <c r="BB311" s="409">
        <v>0</v>
      </c>
      <c r="BC311" s="409">
        <v>0</v>
      </c>
      <c r="BD311" s="409">
        <v>0</v>
      </c>
      <c r="BE311" s="409">
        <v>0</v>
      </c>
      <c r="BF311" s="409">
        <v>0</v>
      </c>
      <c r="BG311" s="409">
        <v>417.70979769744696</v>
      </c>
      <c r="BH311" s="409">
        <v>0</v>
      </c>
      <c r="BI311" s="409">
        <v>0</v>
      </c>
      <c r="BJ311" s="409">
        <v>0</v>
      </c>
      <c r="BK311" s="409">
        <v>0</v>
      </c>
      <c r="BL311" s="409">
        <v>0</v>
      </c>
      <c r="BM311" s="409"/>
      <c r="BN311" s="409"/>
      <c r="BO311" s="409"/>
      <c r="BP311" s="409"/>
      <c r="BQ311" s="409"/>
      <c r="BR311" s="409"/>
      <c r="BS311" s="409"/>
      <c r="BT311" s="409"/>
      <c r="BU311" s="409"/>
      <c r="BV311" s="409">
        <v>7124.2453281961116</v>
      </c>
      <c r="BW311" s="409"/>
      <c r="BX311" s="409"/>
      <c r="BY311" s="409"/>
      <c r="BZ311" s="409"/>
      <c r="CA311" s="409"/>
      <c r="CB311" s="409"/>
      <c r="CC311" s="409"/>
      <c r="CD311" s="409"/>
      <c r="CE311" s="409"/>
      <c r="CF311" s="409"/>
      <c r="CG311" s="409"/>
      <c r="CH311" s="409"/>
      <c r="CI311" s="409">
        <v>8268.5511999999999</v>
      </c>
      <c r="CJ311" s="409">
        <v>248.63845000000038</v>
      </c>
      <c r="CK311" s="409"/>
      <c r="CL311" s="409"/>
      <c r="CM311" s="409"/>
      <c r="CN311" s="409"/>
      <c r="CO311" s="409">
        <v>14.053050000000141</v>
      </c>
      <c r="CP311" s="409">
        <v>233.11530000000022</v>
      </c>
      <c r="CQ311" s="409">
        <v>31</v>
      </c>
      <c r="CR311" s="409">
        <v>247.18162043744906</v>
      </c>
      <c r="CS311" s="409">
        <v>0</v>
      </c>
      <c r="CT311" s="409">
        <v>0</v>
      </c>
      <c r="CU311" s="409">
        <v>0</v>
      </c>
      <c r="CV311" s="409">
        <v>0</v>
      </c>
      <c r="CW311" s="409">
        <v>0</v>
      </c>
      <c r="CX311" s="409">
        <v>0</v>
      </c>
      <c r="CY311" s="409">
        <v>0</v>
      </c>
      <c r="CZ311" s="409">
        <v>0</v>
      </c>
      <c r="DA311" s="409">
        <v>0</v>
      </c>
      <c r="DB311" s="409">
        <v>0</v>
      </c>
      <c r="DC311" s="409">
        <v>307.22576728525655</v>
      </c>
      <c r="DD311" s="409">
        <v>0</v>
      </c>
      <c r="DE311" s="409">
        <v>0</v>
      </c>
      <c r="DF311" s="409">
        <v>0</v>
      </c>
      <c r="DG311" s="409">
        <v>19.135246882176489</v>
      </c>
      <c r="DH311" s="409">
        <v>0</v>
      </c>
      <c r="DI311" s="409">
        <v>-4.3504066232878813</v>
      </c>
      <c r="DJ311" s="409"/>
      <c r="DK311" s="409">
        <v>0</v>
      </c>
      <c r="DL311" s="409">
        <v>0</v>
      </c>
      <c r="DM311" s="409">
        <v>0</v>
      </c>
      <c r="DN311" s="409">
        <v>0</v>
      </c>
      <c r="DO311" s="409">
        <v>-1.5701350147784865</v>
      </c>
      <c r="DP311" s="409">
        <v>-1.1258969094465598</v>
      </c>
      <c r="DQ311" s="409">
        <v>0</v>
      </c>
      <c r="DR311" s="409">
        <v>-72.13295518247034</v>
      </c>
      <c r="DS311" s="409"/>
      <c r="DT311" s="409"/>
      <c r="DU311" s="409"/>
      <c r="DV311" s="409">
        <v>0</v>
      </c>
      <c r="DW311" s="409">
        <v>0</v>
      </c>
      <c r="DX311" s="409">
        <v>0</v>
      </c>
      <c r="DY311" s="409">
        <v>14.053050000000212</v>
      </c>
      <c r="DZ311" s="409">
        <v>233.11530000000039</v>
      </c>
      <c r="EA311" s="409">
        <v>0</v>
      </c>
      <c r="EB311" s="409">
        <v>0</v>
      </c>
      <c r="EC311" s="409">
        <v>0</v>
      </c>
      <c r="ED311" s="409">
        <v>0</v>
      </c>
      <c r="EE311" s="409">
        <v>0</v>
      </c>
      <c r="EF311" s="409">
        <v>0</v>
      </c>
      <c r="EG311" s="409">
        <v>0</v>
      </c>
      <c r="EH311" s="409">
        <v>0</v>
      </c>
      <c r="EI311" s="409">
        <v>0</v>
      </c>
      <c r="EJ311" s="409">
        <v>0</v>
      </c>
      <c r="EK311" s="409">
        <v>0</v>
      </c>
      <c r="EL311" s="409">
        <v>0</v>
      </c>
      <c r="EM311" s="409">
        <v>0</v>
      </c>
      <c r="EN311" s="409">
        <v>0</v>
      </c>
      <c r="EO311" s="409">
        <v>0</v>
      </c>
      <c r="EP311" s="409">
        <v>0</v>
      </c>
      <c r="EQ311" s="409">
        <v>0</v>
      </c>
      <c r="ER311" s="409">
        <v>0</v>
      </c>
      <c r="ES311" s="409">
        <v>0</v>
      </c>
      <c r="ET311" s="409">
        <v>0</v>
      </c>
      <c r="EU311" s="409">
        <v>0</v>
      </c>
      <c r="EV311" s="409">
        <v>254</v>
      </c>
      <c r="EW311" s="409">
        <v>0</v>
      </c>
      <c r="EX311" s="409">
        <v>0</v>
      </c>
      <c r="EY311" s="409">
        <v>0</v>
      </c>
      <c r="EZ311" s="409"/>
      <c r="FA311" s="409">
        <v>0</v>
      </c>
      <c r="FB311" s="409"/>
      <c r="FC311" s="409"/>
      <c r="FD311" s="409"/>
      <c r="FE311" s="409"/>
      <c r="FF311" s="409">
        <v>0</v>
      </c>
      <c r="FG311" s="409">
        <v>0</v>
      </c>
      <c r="FH311" s="409">
        <v>0</v>
      </c>
      <c r="FI311" s="409">
        <v>0</v>
      </c>
    </row>
    <row r="312" spans="1:165">
      <c r="A312" s="409">
        <v>310</v>
      </c>
      <c r="B312" s="409" t="s">
        <v>1035</v>
      </c>
      <c r="C312" s="409" t="s">
        <v>2251</v>
      </c>
      <c r="D312" s="409" t="s">
        <v>596</v>
      </c>
      <c r="E312" s="409" t="s">
        <v>969</v>
      </c>
      <c r="F312" s="409" t="s">
        <v>1323</v>
      </c>
      <c r="G312" s="409" t="s">
        <v>1323</v>
      </c>
      <c r="H312" s="409" t="s">
        <v>1323</v>
      </c>
      <c r="I312" s="409" t="s">
        <v>1323</v>
      </c>
      <c r="J312" s="409" t="s">
        <v>2245</v>
      </c>
      <c r="K312" s="835">
        <v>44621</v>
      </c>
      <c r="L312" s="409">
        <v>122</v>
      </c>
      <c r="M312" s="409">
        <v>122</v>
      </c>
      <c r="N312" s="409">
        <v>0</v>
      </c>
      <c r="O312" s="409">
        <v>0</v>
      </c>
      <c r="P312" s="409">
        <v>0</v>
      </c>
      <c r="Q312" s="409">
        <v>0</v>
      </c>
      <c r="R312" s="409">
        <v>50.27</v>
      </c>
      <c r="S312" s="409"/>
      <c r="T312" s="409"/>
      <c r="U312" s="409">
        <v>6132.9400000000005</v>
      </c>
      <c r="V312" s="409"/>
      <c r="W312" s="409">
        <v>6132.9400000000005</v>
      </c>
      <c r="X312" s="409">
        <v>5514.4000000000005</v>
      </c>
      <c r="Y312" s="409">
        <v>0</v>
      </c>
      <c r="Z312" s="409">
        <v>0</v>
      </c>
      <c r="AA312" s="409">
        <v>0</v>
      </c>
      <c r="AB312" s="409">
        <v>0</v>
      </c>
      <c r="AC312" s="409">
        <v>0</v>
      </c>
      <c r="AD312" s="409">
        <v>2923.1118475037447</v>
      </c>
      <c r="AE312" s="409">
        <v>3209.2725499152057</v>
      </c>
      <c r="AF312" s="409"/>
      <c r="AG312" s="409"/>
      <c r="AH312" s="409"/>
      <c r="AI312" s="409">
        <v>0</v>
      </c>
      <c r="AJ312" s="409">
        <v>0</v>
      </c>
      <c r="AK312" s="409">
        <v>0</v>
      </c>
      <c r="AL312" s="409">
        <v>0</v>
      </c>
      <c r="AM312" s="409"/>
      <c r="AN312" s="409">
        <v>0</v>
      </c>
      <c r="AO312" s="409">
        <v>0</v>
      </c>
      <c r="AP312" s="409">
        <v>0</v>
      </c>
      <c r="AQ312" s="409">
        <v>0</v>
      </c>
      <c r="AR312" s="409">
        <v>0</v>
      </c>
      <c r="AS312" s="409"/>
      <c r="AT312" s="409"/>
      <c r="AU312" s="409">
        <v>0</v>
      </c>
      <c r="AV312" s="409">
        <v>0</v>
      </c>
      <c r="AW312" s="409">
        <v>0</v>
      </c>
      <c r="AX312" s="409"/>
      <c r="AY312" s="409"/>
      <c r="AZ312" s="409">
        <v>0</v>
      </c>
      <c r="BA312" s="409"/>
      <c r="BB312" s="409">
        <v>0</v>
      </c>
      <c r="BC312" s="409">
        <v>0</v>
      </c>
      <c r="BD312" s="409">
        <v>0</v>
      </c>
      <c r="BE312" s="409">
        <v>0</v>
      </c>
      <c r="BF312" s="409"/>
      <c r="BG312" s="409">
        <v>0</v>
      </c>
      <c r="BH312" s="409">
        <v>0</v>
      </c>
      <c r="BI312" s="409">
        <v>0</v>
      </c>
      <c r="BJ312" s="409">
        <v>0</v>
      </c>
      <c r="BK312" s="409">
        <v>0</v>
      </c>
      <c r="BL312" s="409">
        <v>1</v>
      </c>
      <c r="BM312" s="409"/>
      <c r="BN312" s="409"/>
      <c r="BO312" s="409"/>
      <c r="BP312" s="409"/>
      <c r="BQ312" s="409"/>
      <c r="BR312" s="409"/>
      <c r="BS312" s="409"/>
      <c r="BT312" s="409"/>
      <c r="BU312" s="409"/>
      <c r="BV312" s="409">
        <v>0</v>
      </c>
      <c r="BW312" s="409"/>
      <c r="BX312" s="409"/>
      <c r="BY312" s="409"/>
      <c r="BZ312" s="409"/>
      <c r="CA312" s="409"/>
      <c r="CB312" s="409"/>
      <c r="CC312" s="409"/>
      <c r="CD312" s="409"/>
      <c r="CE312" s="409"/>
      <c r="CF312" s="409"/>
      <c r="CG312" s="409"/>
      <c r="CH312" s="409"/>
      <c r="CI312" s="409">
        <v>5514.4000000000005</v>
      </c>
      <c r="CJ312" s="409">
        <v>-618.57000000000062</v>
      </c>
      <c r="CK312" s="409"/>
      <c r="CL312" s="409"/>
      <c r="CM312" s="409"/>
      <c r="CN312" s="409"/>
      <c r="CO312" s="409">
        <v>-618.54000000000008</v>
      </c>
      <c r="CP312" s="409">
        <v>0</v>
      </c>
      <c r="CQ312" s="409">
        <v>31</v>
      </c>
      <c r="CR312" s="409">
        <v>118.24664915550738</v>
      </c>
      <c r="CS312" s="409">
        <v>0</v>
      </c>
      <c r="CT312" s="409">
        <v>0</v>
      </c>
      <c r="CU312" s="409">
        <v>0</v>
      </c>
      <c r="CV312" s="409">
        <v>0</v>
      </c>
      <c r="CW312" s="409"/>
      <c r="CX312" s="409"/>
      <c r="CY312" s="409"/>
      <c r="CZ312" s="409">
        <v>109.58927034234011</v>
      </c>
      <c r="DA312" s="409">
        <v>0</v>
      </c>
      <c r="DB312" s="409">
        <v>0</v>
      </c>
      <c r="DC312" s="409"/>
      <c r="DD312" s="409"/>
      <c r="DE312" s="409">
        <v>0</v>
      </c>
      <c r="DF312" s="409">
        <v>0</v>
      </c>
      <c r="DG312" s="409">
        <v>0</v>
      </c>
      <c r="DH312" s="409">
        <v>0</v>
      </c>
      <c r="DI312" s="409">
        <v>0</v>
      </c>
      <c r="DJ312" s="409"/>
      <c r="DK312" s="409">
        <v>0</v>
      </c>
      <c r="DL312" s="409">
        <v>0</v>
      </c>
      <c r="DM312" s="409"/>
      <c r="DN312" s="409">
        <v>0</v>
      </c>
      <c r="DO312" s="409">
        <v>0</v>
      </c>
      <c r="DP312" s="409">
        <v>0</v>
      </c>
      <c r="DQ312" s="409">
        <v>0</v>
      </c>
      <c r="DR312" s="409">
        <v>8.6573788131670941</v>
      </c>
      <c r="DS312" s="409"/>
      <c r="DT312" s="409"/>
      <c r="DU312" s="409">
        <v>3209.2725499152057</v>
      </c>
      <c r="DV312" s="409"/>
      <c r="DW312" s="409">
        <v>0</v>
      </c>
      <c r="DX312" s="409">
        <v>0</v>
      </c>
      <c r="DY312" s="409">
        <v>-618.54</v>
      </c>
      <c r="DZ312" s="409"/>
      <c r="EA312" s="409">
        <v>0</v>
      </c>
      <c r="EB312" s="409"/>
      <c r="EC312" s="409">
        <v>-735.64073268859556</v>
      </c>
      <c r="ED312" s="409"/>
      <c r="EE312" s="409">
        <v>0</v>
      </c>
      <c r="EF312" s="409">
        <v>0</v>
      </c>
      <c r="EG312" s="409"/>
      <c r="EH312" s="409">
        <v>0</v>
      </c>
      <c r="EI312" s="409">
        <v>0</v>
      </c>
      <c r="EJ312" s="409">
        <v>0</v>
      </c>
      <c r="EK312" s="409">
        <v>0</v>
      </c>
      <c r="EL312" s="409">
        <v>0</v>
      </c>
      <c r="EM312" s="409"/>
      <c r="EN312" s="409"/>
      <c r="EO312" s="409">
        <v>0</v>
      </c>
      <c r="EP312" s="409">
        <v>0</v>
      </c>
      <c r="EQ312" s="409"/>
      <c r="ER312" s="409">
        <v>0</v>
      </c>
      <c r="ES312" s="409"/>
      <c r="ET312" s="409">
        <v>0</v>
      </c>
      <c r="EU312" s="409"/>
      <c r="EV312" s="409">
        <v>254</v>
      </c>
      <c r="EW312" s="409"/>
      <c r="EX312" s="409"/>
      <c r="EY312" s="409"/>
      <c r="EZ312" s="409"/>
      <c r="FA312" s="409">
        <v>0</v>
      </c>
      <c r="FB312" s="409"/>
      <c r="FC312" s="409"/>
      <c r="FD312" s="409"/>
      <c r="FE312" s="409"/>
      <c r="FF312" s="409">
        <v>0</v>
      </c>
      <c r="FG312" s="409">
        <v>0</v>
      </c>
      <c r="FH312" s="409">
        <v>0</v>
      </c>
      <c r="FI312" s="409">
        <v>0</v>
      </c>
    </row>
    <row r="313" spans="1:165">
      <c r="A313" s="409">
        <v>311</v>
      </c>
      <c r="B313" s="409" t="s">
        <v>1035</v>
      </c>
      <c r="C313" s="409" t="s">
        <v>2244</v>
      </c>
      <c r="D313" s="409" t="s">
        <v>1994</v>
      </c>
      <c r="E313" s="409" t="s">
        <v>997</v>
      </c>
      <c r="F313" s="409" t="s">
        <v>1323</v>
      </c>
      <c r="G313" s="409" t="s">
        <v>1323</v>
      </c>
      <c r="H313" s="409" t="s">
        <v>1323</v>
      </c>
      <c r="I313" s="409" t="s">
        <v>1323</v>
      </c>
      <c r="J313" s="409" t="s">
        <v>2245</v>
      </c>
      <c r="K313" s="835">
        <v>44621</v>
      </c>
      <c r="L313" s="409">
        <v>0</v>
      </c>
      <c r="M313" s="409">
        <v>0</v>
      </c>
      <c r="N313" s="409">
        <v>65.599000000000004</v>
      </c>
      <c r="O313" s="409">
        <v>65.599000000000004</v>
      </c>
      <c r="P313" s="409">
        <v>65.599000000000004</v>
      </c>
      <c r="Q313" s="409">
        <v>65.599000000000004</v>
      </c>
      <c r="R313" s="409"/>
      <c r="S313" s="409">
        <v>597.01</v>
      </c>
      <c r="T313" s="409">
        <v>243.39</v>
      </c>
      <c r="U313" s="409"/>
      <c r="V313" s="409">
        <v>55129.399600000004</v>
      </c>
      <c r="W313" s="409">
        <v>55129.399600000004</v>
      </c>
      <c r="X313" s="409">
        <v>49939.206720000002</v>
      </c>
      <c r="Y313" s="409">
        <v>0</v>
      </c>
      <c r="Z313" s="409">
        <v>1632.3312382394975</v>
      </c>
      <c r="AA313" s="409">
        <v>0</v>
      </c>
      <c r="AB313" s="409">
        <v>0</v>
      </c>
      <c r="AC313" s="409">
        <v>0</v>
      </c>
      <c r="AD313" s="409">
        <v>7687.4855149368768</v>
      </c>
      <c r="AE313" s="409">
        <v>26898.117185918327</v>
      </c>
      <c r="AF313" s="409">
        <v>15965.959871717723</v>
      </c>
      <c r="AG313" s="409">
        <v>0</v>
      </c>
      <c r="AH313" s="409">
        <v>0</v>
      </c>
      <c r="AI313" s="409">
        <v>0</v>
      </c>
      <c r="AJ313" s="409">
        <v>0</v>
      </c>
      <c r="AK313" s="409">
        <v>0</v>
      </c>
      <c r="AL313" s="409">
        <v>666.42619905626736</v>
      </c>
      <c r="AM313" s="409"/>
      <c r="AN313" s="409">
        <v>112.62504829089217</v>
      </c>
      <c r="AO313" s="409">
        <v>0</v>
      </c>
      <c r="AP313" s="409">
        <v>0</v>
      </c>
      <c r="AQ313" s="409">
        <v>0</v>
      </c>
      <c r="AR313" s="409">
        <v>0</v>
      </c>
      <c r="AS313" s="409">
        <v>0</v>
      </c>
      <c r="AT313" s="409">
        <v>0</v>
      </c>
      <c r="AU313" s="409">
        <v>0</v>
      </c>
      <c r="AV313" s="409">
        <v>0</v>
      </c>
      <c r="AW313" s="409">
        <v>0</v>
      </c>
      <c r="AX313" s="409">
        <v>0</v>
      </c>
      <c r="AY313" s="409">
        <v>0</v>
      </c>
      <c r="AZ313" s="409">
        <v>0</v>
      </c>
      <c r="BA313" s="409"/>
      <c r="BB313" s="409">
        <v>0</v>
      </c>
      <c r="BC313" s="409">
        <v>0</v>
      </c>
      <c r="BD313" s="409">
        <v>0</v>
      </c>
      <c r="BE313" s="409">
        <v>0</v>
      </c>
      <c r="BF313" s="409">
        <v>0</v>
      </c>
      <c r="BG313" s="409">
        <v>2166.0349852532495</v>
      </c>
      <c r="BH313" s="409">
        <v>0</v>
      </c>
      <c r="BI313" s="409">
        <v>81.47</v>
      </c>
      <c r="BJ313" s="409">
        <v>376.28</v>
      </c>
      <c r="BK313" s="409">
        <v>4620.09</v>
      </c>
      <c r="BL313" s="409">
        <v>208</v>
      </c>
      <c r="BM313" s="409"/>
      <c r="BN313" s="409"/>
      <c r="BO313" s="409"/>
      <c r="BP313" s="409"/>
      <c r="BQ313" s="409"/>
      <c r="BR313" s="409"/>
      <c r="BS313" s="409"/>
      <c r="BT313" s="409"/>
      <c r="BU313" s="409"/>
      <c r="BV313" s="409">
        <v>18131.994856970974</v>
      </c>
      <c r="BW313" s="409"/>
      <c r="BX313" s="409"/>
      <c r="BY313" s="409"/>
      <c r="BZ313" s="409"/>
      <c r="CA313" s="409"/>
      <c r="CB313" s="409"/>
      <c r="CC313" s="409"/>
      <c r="CD313" s="409"/>
      <c r="CE313" s="409"/>
      <c r="CF313" s="409"/>
      <c r="CG313" s="409"/>
      <c r="CH313" s="409"/>
      <c r="CI313" s="409">
        <v>49939.967999999993</v>
      </c>
      <c r="CJ313" s="409">
        <v>-5189.4616000000169</v>
      </c>
      <c r="CK313" s="409"/>
      <c r="CL313" s="409"/>
      <c r="CM313" s="409"/>
      <c r="CN313" s="409"/>
      <c r="CO313" s="409">
        <v>-5745.1604199999992</v>
      </c>
      <c r="CP313" s="409">
        <v>554.96754000000055</v>
      </c>
      <c r="CQ313" s="409">
        <v>31</v>
      </c>
      <c r="CR313" s="409">
        <v>975.70791568892309</v>
      </c>
      <c r="CS313" s="409">
        <v>0</v>
      </c>
      <c r="CT313" s="409">
        <v>0</v>
      </c>
      <c r="CU313" s="409">
        <v>0</v>
      </c>
      <c r="CV313" s="409">
        <v>0</v>
      </c>
      <c r="CW313" s="409">
        <v>0</v>
      </c>
      <c r="CX313" s="409">
        <v>0</v>
      </c>
      <c r="CY313" s="409">
        <v>0</v>
      </c>
      <c r="CZ313" s="409">
        <v>288.20858465224592</v>
      </c>
      <c r="DA313" s="409">
        <v>0</v>
      </c>
      <c r="DB313" s="409">
        <v>0</v>
      </c>
      <c r="DC313" s="409">
        <v>731.3991329394139</v>
      </c>
      <c r="DD313" s="409">
        <v>0</v>
      </c>
      <c r="DE313" s="409">
        <v>0</v>
      </c>
      <c r="DF313" s="409">
        <v>0</v>
      </c>
      <c r="DG313" s="409">
        <v>99.225860697353255</v>
      </c>
      <c r="DH313" s="409">
        <v>0</v>
      </c>
      <c r="DI313" s="409">
        <v>-11.90439701917262</v>
      </c>
      <c r="DJ313" s="409"/>
      <c r="DK313" s="409">
        <v>0</v>
      </c>
      <c r="DL313" s="409">
        <v>0</v>
      </c>
      <c r="DM313" s="409">
        <v>0</v>
      </c>
      <c r="DN313" s="409">
        <v>0</v>
      </c>
      <c r="DO313" s="409">
        <v>-3.7379527067485014</v>
      </c>
      <c r="DP313" s="409">
        <v>-6.6339921672519324</v>
      </c>
      <c r="DQ313" s="409">
        <v>0</v>
      </c>
      <c r="DR313" s="409">
        <v>-120.84932070692282</v>
      </c>
      <c r="DS313" s="409"/>
      <c r="DT313" s="409"/>
      <c r="DU313" s="409"/>
      <c r="DV313" s="409">
        <v>26898.117185918327</v>
      </c>
      <c r="DW313" s="409">
        <v>0</v>
      </c>
      <c r="DX313" s="409">
        <v>0</v>
      </c>
      <c r="DY313" s="409">
        <v>-5745.1604200000002</v>
      </c>
      <c r="DZ313" s="409">
        <v>554.96753999999964</v>
      </c>
      <c r="EA313" s="409">
        <v>0</v>
      </c>
      <c r="EB313" s="409">
        <v>0</v>
      </c>
      <c r="EC313" s="409">
        <v>-6165.6809531853978</v>
      </c>
      <c r="ED313" s="409">
        <v>0</v>
      </c>
      <c r="EE313" s="409">
        <v>0</v>
      </c>
      <c r="EF313" s="409">
        <v>0</v>
      </c>
      <c r="EG313" s="409">
        <v>0</v>
      </c>
      <c r="EH313" s="409">
        <v>0</v>
      </c>
      <c r="EI313" s="409">
        <v>0</v>
      </c>
      <c r="EJ313" s="409">
        <v>0</v>
      </c>
      <c r="EK313" s="409">
        <v>0</v>
      </c>
      <c r="EL313" s="409">
        <v>0</v>
      </c>
      <c r="EM313" s="409">
        <v>0</v>
      </c>
      <c r="EN313" s="409">
        <v>0</v>
      </c>
      <c r="EO313" s="409">
        <v>0</v>
      </c>
      <c r="EP313" s="409">
        <v>0</v>
      </c>
      <c r="EQ313" s="409">
        <v>0</v>
      </c>
      <c r="ER313" s="409">
        <v>0</v>
      </c>
      <c r="ES313" s="409">
        <v>0</v>
      </c>
      <c r="ET313" s="409">
        <v>0</v>
      </c>
      <c r="EU313" s="409">
        <v>0</v>
      </c>
      <c r="EV313" s="409">
        <v>254</v>
      </c>
      <c r="EW313" s="409">
        <v>0</v>
      </c>
      <c r="EX313" s="409">
        <v>0</v>
      </c>
      <c r="EY313" s="409">
        <v>0</v>
      </c>
      <c r="EZ313" s="409"/>
      <c r="FA313" s="409">
        <v>0</v>
      </c>
      <c r="FB313" s="409"/>
      <c r="FC313" s="409"/>
      <c r="FD313" s="409"/>
      <c r="FE313" s="409"/>
      <c r="FF313" s="409">
        <v>0</v>
      </c>
      <c r="FG313" s="409">
        <v>0</v>
      </c>
      <c r="FH313" s="409">
        <v>0</v>
      </c>
      <c r="FI313" s="409">
        <v>0</v>
      </c>
    </row>
    <row r="314" spans="1:165">
      <c r="A314" s="409">
        <v>312</v>
      </c>
      <c r="B314" s="409" t="s">
        <v>2246</v>
      </c>
      <c r="C314" s="409" t="s">
        <v>2244</v>
      </c>
      <c r="D314" s="409" t="s">
        <v>1994</v>
      </c>
      <c r="E314" s="409" t="s">
        <v>997</v>
      </c>
      <c r="F314" s="409" t="s">
        <v>1323</v>
      </c>
      <c r="G314" s="409" t="s">
        <v>1323</v>
      </c>
      <c r="H314" s="409" t="s">
        <v>1323</v>
      </c>
      <c r="I314" s="409" t="s">
        <v>1323</v>
      </c>
      <c r="J314" s="409" t="s">
        <v>2245</v>
      </c>
      <c r="K314" s="835">
        <v>44621</v>
      </c>
      <c r="L314" s="409">
        <v>0</v>
      </c>
      <c r="M314" s="409">
        <v>0</v>
      </c>
      <c r="N314" s="409">
        <v>6.6639999999999997</v>
      </c>
      <c r="O314" s="409">
        <v>6.6639999999999997</v>
      </c>
      <c r="P314" s="409">
        <v>6.6639999999999997</v>
      </c>
      <c r="Q314" s="409">
        <v>6.6639999999999997</v>
      </c>
      <c r="R314" s="409"/>
      <c r="S314" s="409">
        <v>597.01</v>
      </c>
      <c r="T314" s="409">
        <v>243.39</v>
      </c>
      <c r="U314" s="409"/>
      <c r="V314" s="409">
        <v>5600.4255999999996</v>
      </c>
      <c r="W314" s="409">
        <v>5600.4255999999996</v>
      </c>
      <c r="X314" s="409">
        <v>5073.1699200000003</v>
      </c>
      <c r="Y314" s="409">
        <v>0</v>
      </c>
      <c r="Z314" s="409">
        <v>165.82349382807681</v>
      </c>
      <c r="AA314" s="409">
        <v>0</v>
      </c>
      <c r="AB314" s="409">
        <v>0</v>
      </c>
      <c r="AC314" s="409">
        <v>0</v>
      </c>
      <c r="AD314" s="409">
        <v>780.94793322366718</v>
      </c>
      <c r="AE314" s="409">
        <v>2732.4967290196455</v>
      </c>
      <c r="AF314" s="409">
        <v>1621.9325993555831</v>
      </c>
      <c r="AG314" s="409">
        <v>0</v>
      </c>
      <c r="AH314" s="409">
        <v>0</v>
      </c>
      <c r="AI314" s="409">
        <v>0</v>
      </c>
      <c r="AJ314" s="409">
        <v>0</v>
      </c>
      <c r="AK314" s="409">
        <v>0</v>
      </c>
      <c r="AL314" s="409">
        <v>67.700181260552228</v>
      </c>
      <c r="AM314" s="409"/>
      <c r="AN314" s="409">
        <v>11.441231143927579</v>
      </c>
      <c r="AO314" s="409">
        <v>0</v>
      </c>
      <c r="AP314" s="409">
        <v>0</v>
      </c>
      <c r="AQ314" s="409">
        <v>0</v>
      </c>
      <c r="AR314" s="409">
        <v>0</v>
      </c>
      <c r="AS314" s="409">
        <v>0</v>
      </c>
      <c r="AT314" s="409">
        <v>0</v>
      </c>
      <c r="AU314" s="409">
        <v>0</v>
      </c>
      <c r="AV314" s="409">
        <v>0</v>
      </c>
      <c r="AW314" s="409">
        <v>0</v>
      </c>
      <c r="AX314" s="409">
        <v>0</v>
      </c>
      <c r="AY314" s="409">
        <v>0</v>
      </c>
      <c r="AZ314" s="409">
        <v>0</v>
      </c>
      <c r="BA314" s="409"/>
      <c r="BB314" s="409">
        <v>0</v>
      </c>
      <c r="BC314" s="409">
        <v>0</v>
      </c>
      <c r="BD314" s="409">
        <v>0</v>
      </c>
      <c r="BE314" s="409">
        <v>0</v>
      </c>
      <c r="BF314" s="409">
        <v>0</v>
      </c>
      <c r="BG314" s="409">
        <v>220.04081070942624</v>
      </c>
      <c r="BH314" s="409">
        <v>0</v>
      </c>
      <c r="BI314" s="409">
        <v>0</v>
      </c>
      <c r="BJ314" s="409">
        <v>0</v>
      </c>
      <c r="BK314" s="409">
        <v>0</v>
      </c>
      <c r="BL314" s="409">
        <v>7</v>
      </c>
      <c r="BM314" s="409"/>
      <c r="BN314" s="409"/>
      <c r="BO314" s="409"/>
      <c r="BP314" s="409"/>
      <c r="BQ314" s="409"/>
      <c r="BR314" s="409"/>
      <c r="BS314" s="409"/>
      <c r="BT314" s="409"/>
      <c r="BU314" s="409"/>
      <c r="BV314" s="409">
        <v>1841.9734100650094</v>
      </c>
      <c r="BW314" s="409"/>
      <c r="BX314" s="409"/>
      <c r="BY314" s="409"/>
      <c r="BZ314" s="409"/>
      <c r="CA314" s="409"/>
      <c r="CB314" s="409"/>
      <c r="CC314" s="409"/>
      <c r="CD314" s="409"/>
      <c r="CE314" s="409"/>
      <c r="CF314" s="409"/>
      <c r="CG314" s="409"/>
      <c r="CH314" s="409"/>
      <c r="CI314" s="409">
        <v>5070.1247999999996</v>
      </c>
      <c r="CJ314" s="409">
        <v>-530.33080000000064</v>
      </c>
      <c r="CK314" s="409"/>
      <c r="CL314" s="409"/>
      <c r="CM314" s="409"/>
      <c r="CN314" s="409"/>
      <c r="CO314" s="409">
        <v>-583.63311999999985</v>
      </c>
      <c r="CP314" s="409">
        <v>56.37744000000005</v>
      </c>
      <c r="CQ314" s="409">
        <v>31</v>
      </c>
      <c r="CR314" s="409">
        <v>99.119156544321868</v>
      </c>
      <c r="CS314" s="409">
        <v>0</v>
      </c>
      <c r="CT314" s="409">
        <v>0</v>
      </c>
      <c r="CU314" s="409">
        <v>0</v>
      </c>
      <c r="CV314" s="409">
        <v>0</v>
      </c>
      <c r="CW314" s="409">
        <v>0</v>
      </c>
      <c r="CX314" s="409">
        <v>0</v>
      </c>
      <c r="CY314" s="409">
        <v>0</v>
      </c>
      <c r="CZ314" s="409">
        <v>29.278220828405438</v>
      </c>
      <c r="DA314" s="409">
        <v>0</v>
      </c>
      <c r="DB314" s="409">
        <v>0</v>
      </c>
      <c r="DC314" s="409">
        <v>74.300581135509219</v>
      </c>
      <c r="DD314" s="409">
        <v>0</v>
      </c>
      <c r="DE314" s="409">
        <v>0</v>
      </c>
      <c r="DF314" s="409">
        <v>0</v>
      </c>
      <c r="DG314" s="409">
        <v>10.080049020368676</v>
      </c>
      <c r="DH314" s="409">
        <v>0</v>
      </c>
      <c r="DI314" s="409">
        <v>-1.2093309613830741</v>
      </c>
      <c r="DJ314" s="409"/>
      <c r="DK314" s="409">
        <v>0</v>
      </c>
      <c r="DL314" s="409">
        <v>0</v>
      </c>
      <c r="DM314" s="409">
        <v>0</v>
      </c>
      <c r="DN314" s="409">
        <v>0</v>
      </c>
      <c r="DO314" s="409">
        <v>-0.37972708178131143</v>
      </c>
      <c r="DP314" s="409">
        <v>-0.67392679465490168</v>
      </c>
      <c r="DQ314" s="409">
        <v>0</v>
      </c>
      <c r="DR314" s="409">
        <v>-12.276709602142315</v>
      </c>
      <c r="DS314" s="409"/>
      <c r="DT314" s="409"/>
      <c r="DU314" s="409"/>
      <c r="DV314" s="409">
        <v>2732.4967290196455</v>
      </c>
      <c r="DW314" s="409">
        <v>0</v>
      </c>
      <c r="DX314" s="409">
        <v>0</v>
      </c>
      <c r="DY314" s="409">
        <v>-583.63311999999996</v>
      </c>
      <c r="DZ314" s="409">
        <v>56.377439999999979</v>
      </c>
      <c r="EA314" s="409">
        <v>0</v>
      </c>
      <c r="EB314" s="409">
        <v>0</v>
      </c>
      <c r="EC314" s="409">
        <v>-626.35250342272775</v>
      </c>
      <c r="ED314" s="409">
        <v>0</v>
      </c>
      <c r="EE314" s="409">
        <v>0</v>
      </c>
      <c r="EF314" s="409">
        <v>0</v>
      </c>
      <c r="EG314" s="409">
        <v>0</v>
      </c>
      <c r="EH314" s="409">
        <v>0</v>
      </c>
      <c r="EI314" s="409">
        <v>0</v>
      </c>
      <c r="EJ314" s="409">
        <v>0</v>
      </c>
      <c r="EK314" s="409">
        <v>0</v>
      </c>
      <c r="EL314" s="409">
        <v>0</v>
      </c>
      <c r="EM314" s="409">
        <v>0</v>
      </c>
      <c r="EN314" s="409">
        <v>0</v>
      </c>
      <c r="EO314" s="409">
        <v>0</v>
      </c>
      <c r="EP314" s="409">
        <v>0</v>
      </c>
      <c r="EQ314" s="409">
        <v>0</v>
      </c>
      <c r="ER314" s="409">
        <v>0</v>
      </c>
      <c r="ES314" s="409">
        <v>0</v>
      </c>
      <c r="ET314" s="409">
        <v>0</v>
      </c>
      <c r="EU314" s="409">
        <v>0</v>
      </c>
      <c r="EV314" s="409">
        <v>254</v>
      </c>
      <c r="EW314" s="409">
        <v>0</v>
      </c>
      <c r="EX314" s="409">
        <v>0</v>
      </c>
      <c r="EY314" s="409">
        <v>0</v>
      </c>
      <c r="EZ314" s="409"/>
      <c r="FA314" s="409">
        <v>0</v>
      </c>
      <c r="FB314" s="409"/>
      <c r="FC314" s="409"/>
      <c r="FD314" s="409"/>
      <c r="FE314" s="409"/>
      <c r="FF314" s="409">
        <v>0</v>
      </c>
      <c r="FG314" s="409">
        <v>0</v>
      </c>
      <c r="FH314" s="409">
        <v>0</v>
      </c>
      <c r="FI314" s="409">
        <v>0</v>
      </c>
    </row>
    <row r="315" spans="1:165">
      <c r="A315" s="409">
        <v>313</v>
      </c>
      <c r="B315" s="409" t="s">
        <v>1035</v>
      </c>
      <c r="C315" s="409" t="s">
        <v>2252</v>
      </c>
      <c r="D315" s="409" t="s">
        <v>1994</v>
      </c>
      <c r="E315" s="409" t="s">
        <v>997</v>
      </c>
      <c r="F315" s="409" t="s">
        <v>1323</v>
      </c>
      <c r="G315" s="409" t="s">
        <v>1323</v>
      </c>
      <c r="H315" s="409" t="s">
        <v>1323</v>
      </c>
      <c r="I315" s="409" t="s">
        <v>972</v>
      </c>
      <c r="J315" s="409" t="s">
        <v>2245</v>
      </c>
      <c r="K315" s="835">
        <v>44621</v>
      </c>
      <c r="L315" s="409">
        <v>0</v>
      </c>
      <c r="M315" s="409">
        <v>0</v>
      </c>
      <c r="N315" s="409">
        <v>1.2E-2</v>
      </c>
      <c r="O315" s="409">
        <v>1.2E-2</v>
      </c>
      <c r="P315" s="409">
        <v>1.2E-2</v>
      </c>
      <c r="Q315" s="409">
        <v>1.2E-2</v>
      </c>
      <c r="R315" s="409"/>
      <c r="S315" s="409">
        <v>1783.27</v>
      </c>
      <c r="T315" s="409">
        <v>243.39</v>
      </c>
      <c r="U315" s="409"/>
      <c r="V315" s="409">
        <v>24.31992</v>
      </c>
      <c r="W315" s="409">
        <v>24.31992</v>
      </c>
      <c r="X315" s="409">
        <v>20.971440000000001</v>
      </c>
      <c r="Y315" s="409">
        <v>0</v>
      </c>
      <c r="Z315" s="409">
        <v>0.29860172958237119</v>
      </c>
      <c r="AA315" s="409">
        <v>0</v>
      </c>
      <c r="AB315" s="409">
        <v>0</v>
      </c>
      <c r="AC315" s="409">
        <v>0</v>
      </c>
      <c r="AD315" s="409">
        <v>4.5703759872473402</v>
      </c>
      <c r="AE315" s="409">
        <v>15.9915089353344</v>
      </c>
      <c r="AF315" s="409">
        <v>2.9206469376150959</v>
      </c>
      <c r="AG315" s="409">
        <v>0</v>
      </c>
      <c r="AH315" s="409">
        <v>0</v>
      </c>
      <c r="AI315" s="409">
        <v>0</v>
      </c>
      <c r="AJ315" s="409">
        <v>0</v>
      </c>
      <c r="AK315" s="409">
        <v>0</v>
      </c>
      <c r="AL315" s="409">
        <v>0.121909089904956</v>
      </c>
      <c r="AM315" s="409"/>
      <c r="AN315" s="409">
        <v>2.0602457041886398E-2</v>
      </c>
      <c r="AO315" s="409">
        <v>0</v>
      </c>
      <c r="AP315" s="409">
        <v>0</v>
      </c>
      <c r="AQ315" s="409">
        <v>0</v>
      </c>
      <c r="AR315" s="409">
        <v>0</v>
      </c>
      <c r="AS315" s="409">
        <v>0</v>
      </c>
      <c r="AT315" s="409">
        <v>0</v>
      </c>
      <c r="AU315" s="409">
        <v>0</v>
      </c>
      <c r="AV315" s="409">
        <v>0</v>
      </c>
      <c r="AW315" s="409">
        <v>0</v>
      </c>
      <c r="AX315" s="409">
        <v>0</v>
      </c>
      <c r="AY315" s="409">
        <v>0</v>
      </c>
      <c r="AZ315" s="409">
        <v>0</v>
      </c>
      <c r="BA315" s="409"/>
      <c r="BB315" s="409">
        <v>0</v>
      </c>
      <c r="BC315" s="409">
        <v>0</v>
      </c>
      <c r="BD315" s="409">
        <v>0</v>
      </c>
      <c r="BE315" s="409">
        <v>0</v>
      </c>
      <c r="BF315" s="409">
        <v>0</v>
      </c>
      <c r="BG315" s="409">
        <v>0.39623195205779038</v>
      </c>
      <c r="BH315" s="409">
        <v>0</v>
      </c>
      <c r="BI315" s="409">
        <v>0</v>
      </c>
      <c r="BJ315" s="409">
        <v>0</v>
      </c>
      <c r="BK315" s="409">
        <v>0</v>
      </c>
      <c r="BL315" s="409">
        <v>0</v>
      </c>
      <c r="BM315" s="409"/>
      <c r="BN315" s="409"/>
      <c r="BO315" s="409"/>
      <c r="BP315" s="409"/>
      <c r="BQ315" s="409"/>
      <c r="BR315" s="409"/>
      <c r="BS315" s="409"/>
      <c r="BT315" s="409"/>
      <c r="BU315" s="409"/>
      <c r="BV315" s="409">
        <v>3.3168788896728865</v>
      </c>
      <c r="BW315" s="409"/>
      <c r="BX315" s="409"/>
      <c r="BY315" s="409"/>
      <c r="BZ315" s="409"/>
      <c r="CA315" s="409"/>
      <c r="CB315" s="409"/>
      <c r="CC315" s="409"/>
      <c r="CD315" s="409"/>
      <c r="CE315" s="409"/>
      <c r="CF315" s="409"/>
      <c r="CG315" s="409"/>
      <c r="CH315" s="409"/>
      <c r="CI315" s="409">
        <v>17.476200000000002</v>
      </c>
      <c r="CJ315" s="409">
        <v>-6.8737200000000023</v>
      </c>
      <c r="CK315" s="409"/>
      <c r="CL315" s="409"/>
      <c r="CM315" s="409"/>
      <c r="CN315" s="409"/>
      <c r="CO315" s="409">
        <v>-3.45</v>
      </c>
      <c r="CP315" s="409">
        <v>0.1015200000000001</v>
      </c>
      <c r="CQ315" s="409">
        <v>31</v>
      </c>
      <c r="CR315" s="409">
        <v>0.31720665516410662</v>
      </c>
      <c r="CS315" s="409">
        <v>0</v>
      </c>
      <c r="CT315" s="409">
        <v>0</v>
      </c>
      <c r="CU315" s="409">
        <v>0</v>
      </c>
      <c r="CV315" s="409">
        <v>0</v>
      </c>
      <c r="CW315" s="409">
        <v>0</v>
      </c>
      <c r="CX315" s="409">
        <v>0</v>
      </c>
      <c r="CY315" s="409">
        <v>0</v>
      </c>
      <c r="CZ315" s="409">
        <v>0.17134622134293576</v>
      </c>
      <c r="DA315" s="409">
        <v>0</v>
      </c>
      <c r="DB315" s="409">
        <v>0</v>
      </c>
      <c r="DC315" s="409">
        <v>0.13379456386946398</v>
      </c>
      <c r="DD315" s="409">
        <v>0</v>
      </c>
      <c r="DE315" s="409">
        <v>0</v>
      </c>
      <c r="DF315" s="409">
        <v>0</v>
      </c>
      <c r="DG315" s="409">
        <v>1.8151348776174026E-2</v>
      </c>
      <c r="DH315" s="409">
        <v>0</v>
      </c>
      <c r="DI315" s="409">
        <v>-2.1776667972083774E-3</v>
      </c>
      <c r="DJ315" s="409"/>
      <c r="DK315" s="409">
        <v>0</v>
      </c>
      <c r="DL315" s="409">
        <v>0</v>
      </c>
      <c r="DM315" s="409">
        <v>0</v>
      </c>
      <c r="DN315" s="409">
        <v>0</v>
      </c>
      <c r="DO315" s="409">
        <v>-6.8378226011039933E-4</v>
      </c>
      <c r="DP315" s="409">
        <v>-1.2135536518395572E-3</v>
      </c>
      <c r="DQ315" s="409">
        <v>0</v>
      </c>
      <c r="DR315" s="409">
        <v>-2.0104761153067197E-3</v>
      </c>
      <c r="DS315" s="409"/>
      <c r="DT315" s="409"/>
      <c r="DU315" s="409"/>
      <c r="DV315" s="409">
        <v>15.9915089353344</v>
      </c>
      <c r="DW315" s="409">
        <v>0</v>
      </c>
      <c r="DX315" s="409">
        <v>0</v>
      </c>
      <c r="DY315" s="409">
        <v>-3.4499999999999993</v>
      </c>
      <c r="DZ315" s="409">
        <v>0.10151999999999983</v>
      </c>
      <c r="EA315" s="409">
        <v>0</v>
      </c>
      <c r="EB315" s="409">
        <v>0</v>
      </c>
      <c r="EC315" s="409">
        <v>-3.66562987936212</v>
      </c>
      <c r="ED315" s="409">
        <v>0</v>
      </c>
      <c r="EE315" s="409">
        <v>0</v>
      </c>
      <c r="EF315" s="409">
        <v>0</v>
      </c>
      <c r="EG315" s="409">
        <v>0</v>
      </c>
      <c r="EH315" s="409">
        <v>0</v>
      </c>
      <c r="EI315" s="409">
        <v>0</v>
      </c>
      <c r="EJ315" s="409">
        <v>0</v>
      </c>
      <c r="EK315" s="409">
        <v>0</v>
      </c>
      <c r="EL315" s="409">
        <v>0</v>
      </c>
      <c r="EM315" s="409">
        <v>0</v>
      </c>
      <c r="EN315" s="409">
        <v>0</v>
      </c>
      <c r="EO315" s="409">
        <v>0</v>
      </c>
      <c r="EP315" s="409">
        <v>0</v>
      </c>
      <c r="EQ315" s="409">
        <v>0</v>
      </c>
      <c r="ER315" s="409">
        <v>0</v>
      </c>
      <c r="ES315" s="409">
        <v>0</v>
      </c>
      <c r="ET315" s="409">
        <v>0</v>
      </c>
      <c r="EU315" s="409">
        <v>0</v>
      </c>
      <c r="EV315" s="409">
        <v>254</v>
      </c>
      <c r="EW315" s="409">
        <v>0</v>
      </c>
      <c r="EX315" s="409">
        <v>0</v>
      </c>
      <c r="EY315" s="409">
        <v>0</v>
      </c>
      <c r="EZ315" s="409"/>
      <c r="FA315" s="409">
        <v>0</v>
      </c>
      <c r="FB315" s="409"/>
      <c r="FC315" s="409"/>
      <c r="FD315" s="409"/>
      <c r="FE315" s="409"/>
      <c r="FF315" s="409">
        <v>0</v>
      </c>
      <c r="FG315" s="409">
        <v>0</v>
      </c>
      <c r="FH315" s="409">
        <v>0</v>
      </c>
      <c r="FI315" s="409">
        <v>0</v>
      </c>
    </row>
    <row r="316" spans="1:165">
      <c r="A316" s="409">
        <v>314</v>
      </c>
      <c r="B316" s="409" t="s">
        <v>1035</v>
      </c>
      <c r="C316" s="409" t="s">
        <v>2252</v>
      </c>
      <c r="D316" s="409" t="s">
        <v>1994</v>
      </c>
      <c r="E316" s="409" t="s">
        <v>997</v>
      </c>
      <c r="F316" s="409" t="s">
        <v>1323</v>
      </c>
      <c r="G316" s="409" t="s">
        <v>1323</v>
      </c>
      <c r="H316" s="409" t="s">
        <v>1323</v>
      </c>
      <c r="I316" s="409" t="s">
        <v>2237</v>
      </c>
      <c r="J316" s="409" t="s">
        <v>2245</v>
      </c>
      <c r="K316" s="835">
        <v>44621</v>
      </c>
      <c r="L316" s="409">
        <v>0</v>
      </c>
      <c r="M316" s="409">
        <v>0</v>
      </c>
      <c r="N316" s="409">
        <v>0.41099999999999998</v>
      </c>
      <c r="O316" s="409">
        <v>0.41099999999999998</v>
      </c>
      <c r="P316" s="409">
        <v>0.41099999999999998</v>
      </c>
      <c r="Q316" s="409">
        <v>0.41099999999999998</v>
      </c>
      <c r="R316" s="409"/>
      <c r="S316" s="409">
        <v>412.48</v>
      </c>
      <c r="T316" s="409">
        <v>243.39</v>
      </c>
      <c r="U316" s="409"/>
      <c r="V316" s="409">
        <v>269.56256999999999</v>
      </c>
      <c r="W316" s="409">
        <v>269.56256999999999</v>
      </c>
      <c r="X316" s="409">
        <v>249.82634999999999</v>
      </c>
      <c r="Y316" s="409">
        <v>0</v>
      </c>
      <c r="Z316" s="409">
        <v>10.227109238196213</v>
      </c>
      <c r="AA316" s="409">
        <v>0</v>
      </c>
      <c r="AB316" s="409">
        <v>0</v>
      </c>
      <c r="AC316" s="409">
        <v>0</v>
      </c>
      <c r="AD316" s="409">
        <v>31.307569809423917</v>
      </c>
      <c r="AE316" s="409">
        <v>109.54188245049602</v>
      </c>
      <c r="AF316" s="409">
        <v>100.03215761331703</v>
      </c>
      <c r="AG316" s="409">
        <v>0</v>
      </c>
      <c r="AH316" s="409">
        <v>0</v>
      </c>
      <c r="AI316" s="409">
        <v>0</v>
      </c>
      <c r="AJ316" s="409">
        <v>0</v>
      </c>
      <c r="AK316" s="409">
        <v>0</v>
      </c>
      <c r="AL316" s="409">
        <v>4.1753863292447422</v>
      </c>
      <c r="AM316" s="409"/>
      <c r="AN316" s="409">
        <v>0.70563415368460913</v>
      </c>
      <c r="AO316" s="409">
        <v>0</v>
      </c>
      <c r="AP316" s="409">
        <v>0</v>
      </c>
      <c r="AQ316" s="409">
        <v>0</v>
      </c>
      <c r="AR316" s="409">
        <v>0</v>
      </c>
      <c r="AS316" s="409">
        <v>0</v>
      </c>
      <c r="AT316" s="409">
        <v>0</v>
      </c>
      <c r="AU316" s="409">
        <v>0</v>
      </c>
      <c r="AV316" s="409">
        <v>0</v>
      </c>
      <c r="AW316" s="409">
        <v>0</v>
      </c>
      <c r="AX316" s="409">
        <v>0</v>
      </c>
      <c r="AY316" s="409">
        <v>0</v>
      </c>
      <c r="AZ316" s="409">
        <v>0</v>
      </c>
      <c r="BA316" s="409"/>
      <c r="BB316" s="409">
        <v>0</v>
      </c>
      <c r="BC316" s="409">
        <v>0</v>
      </c>
      <c r="BD316" s="409">
        <v>0</v>
      </c>
      <c r="BE316" s="409">
        <v>0</v>
      </c>
      <c r="BF316" s="409">
        <v>0</v>
      </c>
      <c r="BG316" s="409">
        <v>13.57094435797932</v>
      </c>
      <c r="BH316" s="409">
        <v>0</v>
      </c>
      <c r="BI316" s="409">
        <v>0</v>
      </c>
      <c r="BJ316" s="409">
        <v>0</v>
      </c>
      <c r="BK316" s="409">
        <v>0</v>
      </c>
      <c r="BL316" s="409">
        <v>0</v>
      </c>
      <c r="BM316" s="409"/>
      <c r="BN316" s="409"/>
      <c r="BO316" s="409"/>
      <c r="BP316" s="409"/>
      <c r="BQ316" s="409"/>
      <c r="BR316" s="409"/>
      <c r="BS316" s="409"/>
      <c r="BT316" s="409"/>
      <c r="BU316" s="409"/>
      <c r="BV316" s="409">
        <v>113.60310197129634</v>
      </c>
      <c r="BW316" s="409"/>
      <c r="BX316" s="409"/>
      <c r="BY316" s="409"/>
      <c r="BZ316" s="409"/>
      <c r="CA316" s="409"/>
      <c r="CB316" s="409"/>
      <c r="CC316" s="409"/>
      <c r="CD316" s="409"/>
      <c r="CE316" s="409"/>
      <c r="CF316" s="409"/>
      <c r="CG316" s="409"/>
      <c r="CH316" s="409"/>
      <c r="CI316" s="409">
        <v>249.21849999999998</v>
      </c>
      <c r="CJ316" s="409">
        <v>-20.374069999999989</v>
      </c>
      <c r="CK316" s="409"/>
      <c r="CL316" s="409"/>
      <c r="CM316" s="409"/>
      <c r="CN316" s="409"/>
      <c r="CO316" s="409">
        <v>-23.213280000000005</v>
      </c>
      <c r="CP316" s="409">
        <v>3.4770600000000029</v>
      </c>
      <c r="CQ316" s="409">
        <v>31</v>
      </c>
      <c r="CR316" s="409">
        <v>5.3740883299022357</v>
      </c>
      <c r="CS316" s="409">
        <v>0</v>
      </c>
      <c r="CT316" s="409">
        <v>0</v>
      </c>
      <c r="CU316" s="409">
        <v>0</v>
      </c>
      <c r="CV316" s="409">
        <v>0</v>
      </c>
      <c r="CW316" s="409">
        <v>0</v>
      </c>
      <c r="CX316" s="409">
        <v>0</v>
      </c>
      <c r="CY316" s="409">
        <v>0</v>
      </c>
      <c r="CZ316" s="409">
        <v>1.1737401476910208</v>
      </c>
      <c r="DA316" s="409">
        <v>0</v>
      </c>
      <c r="DB316" s="409">
        <v>0</v>
      </c>
      <c r="DC316" s="409">
        <v>4.5824638125291415</v>
      </c>
      <c r="DD316" s="409">
        <v>0</v>
      </c>
      <c r="DE316" s="409">
        <v>0</v>
      </c>
      <c r="DF316" s="409">
        <v>0</v>
      </c>
      <c r="DG316" s="409">
        <v>0.62168369558396108</v>
      </c>
      <c r="DH316" s="409">
        <v>0</v>
      </c>
      <c r="DI316" s="409">
        <v>-7.4585087804386774E-2</v>
      </c>
      <c r="DJ316" s="409"/>
      <c r="DK316" s="409">
        <v>0</v>
      </c>
      <c r="DL316" s="409">
        <v>0</v>
      </c>
      <c r="DM316" s="409">
        <v>0</v>
      </c>
      <c r="DN316" s="409">
        <v>0</v>
      </c>
      <c r="DO316" s="409">
        <v>-2.3419542408780636E-2</v>
      </c>
      <c r="DP316" s="409">
        <v>-4.1564212575504911E-2</v>
      </c>
      <c r="DQ316" s="409">
        <v>0</v>
      </c>
      <c r="DR316" s="409">
        <v>-0.8642304831132428</v>
      </c>
      <c r="DS316" s="409"/>
      <c r="DT316" s="409"/>
      <c r="DU316" s="409"/>
      <c r="DV316" s="409">
        <v>109.54188245049602</v>
      </c>
      <c r="DW316" s="409">
        <v>0</v>
      </c>
      <c r="DX316" s="409">
        <v>0</v>
      </c>
      <c r="DY316" s="409">
        <v>-23.213279999999997</v>
      </c>
      <c r="DZ316" s="409">
        <v>3.4770599999999945</v>
      </c>
      <c r="EA316" s="409">
        <v>0</v>
      </c>
      <c r="EB316" s="409">
        <v>0</v>
      </c>
      <c r="EC316" s="409">
        <v>-25.109575273717539</v>
      </c>
      <c r="ED316" s="409">
        <v>0</v>
      </c>
      <c r="EE316" s="409">
        <v>0</v>
      </c>
      <c r="EF316" s="409">
        <v>0</v>
      </c>
      <c r="EG316" s="409">
        <v>0</v>
      </c>
      <c r="EH316" s="409">
        <v>0</v>
      </c>
      <c r="EI316" s="409">
        <v>0</v>
      </c>
      <c r="EJ316" s="409">
        <v>0</v>
      </c>
      <c r="EK316" s="409">
        <v>0</v>
      </c>
      <c r="EL316" s="409">
        <v>0</v>
      </c>
      <c r="EM316" s="409">
        <v>0</v>
      </c>
      <c r="EN316" s="409">
        <v>0</v>
      </c>
      <c r="EO316" s="409">
        <v>0</v>
      </c>
      <c r="EP316" s="409">
        <v>0</v>
      </c>
      <c r="EQ316" s="409">
        <v>0</v>
      </c>
      <c r="ER316" s="409">
        <v>0</v>
      </c>
      <c r="ES316" s="409">
        <v>0</v>
      </c>
      <c r="ET316" s="409">
        <v>0</v>
      </c>
      <c r="EU316" s="409">
        <v>0</v>
      </c>
      <c r="EV316" s="409">
        <v>254</v>
      </c>
      <c r="EW316" s="409">
        <v>0</v>
      </c>
      <c r="EX316" s="409">
        <v>0</v>
      </c>
      <c r="EY316" s="409">
        <v>0</v>
      </c>
      <c r="EZ316" s="409"/>
      <c r="FA316" s="409">
        <v>0</v>
      </c>
      <c r="FB316" s="409"/>
      <c r="FC316" s="409"/>
      <c r="FD316" s="409"/>
      <c r="FE316" s="409"/>
      <c r="FF316" s="409">
        <v>0</v>
      </c>
      <c r="FG316" s="409">
        <v>0</v>
      </c>
      <c r="FH316" s="409">
        <v>0</v>
      </c>
      <c r="FI316" s="409">
        <v>0</v>
      </c>
    </row>
    <row r="317" spans="1:165">
      <c r="A317" s="409">
        <v>315</v>
      </c>
      <c r="B317" s="409" t="s">
        <v>1035</v>
      </c>
      <c r="C317" s="409" t="s">
        <v>2252</v>
      </c>
      <c r="D317" s="409" t="s">
        <v>1994</v>
      </c>
      <c r="E317" s="409" t="s">
        <v>997</v>
      </c>
      <c r="F317" s="409" t="s">
        <v>1323</v>
      </c>
      <c r="G317" s="409" t="s">
        <v>1323</v>
      </c>
      <c r="H317" s="409" t="s">
        <v>1323</v>
      </c>
      <c r="I317" s="409" t="s">
        <v>1323</v>
      </c>
      <c r="J317" s="409" t="s">
        <v>2245</v>
      </c>
      <c r="K317" s="835">
        <v>44621</v>
      </c>
      <c r="L317" s="409">
        <v>0</v>
      </c>
      <c r="M317" s="409">
        <v>0</v>
      </c>
      <c r="N317" s="409">
        <v>0</v>
      </c>
      <c r="O317" s="409">
        <v>0</v>
      </c>
      <c r="P317" s="409">
        <v>0</v>
      </c>
      <c r="Q317" s="409">
        <v>0</v>
      </c>
      <c r="R317" s="409"/>
      <c r="S317" s="409"/>
      <c r="T317" s="409"/>
      <c r="U317" s="409"/>
      <c r="V317" s="409"/>
      <c r="W317" s="409"/>
      <c r="X317" s="409"/>
      <c r="Y317" s="409"/>
      <c r="Z317" s="409"/>
      <c r="AA317" s="409">
        <v>0</v>
      </c>
      <c r="AB317" s="409"/>
      <c r="AC317" s="409"/>
      <c r="AD317" s="409"/>
      <c r="AE317" s="409"/>
      <c r="AF317" s="409"/>
      <c r="AG317" s="409"/>
      <c r="AH317" s="409"/>
      <c r="AI317" s="409"/>
      <c r="AJ317" s="409"/>
      <c r="AK317" s="409"/>
      <c r="AL317" s="409"/>
      <c r="AM317" s="409"/>
      <c r="AN317" s="409"/>
      <c r="AO317" s="409"/>
      <c r="AP317" s="409"/>
      <c r="AQ317" s="409"/>
      <c r="AR317" s="409"/>
      <c r="AS317" s="409"/>
      <c r="AT317" s="409"/>
      <c r="AU317" s="409"/>
      <c r="AV317" s="409"/>
      <c r="AW317" s="409"/>
      <c r="AX317" s="409"/>
      <c r="AY317" s="409"/>
      <c r="AZ317" s="409">
        <v>0</v>
      </c>
      <c r="BA317" s="409"/>
      <c r="BB317" s="409"/>
      <c r="BC317" s="409"/>
      <c r="BD317" s="409"/>
      <c r="BE317" s="409"/>
      <c r="BF317" s="409"/>
      <c r="BG317" s="409"/>
      <c r="BH317" s="409"/>
      <c r="BI317" s="409">
        <v>0</v>
      </c>
      <c r="BJ317" s="409">
        <v>0</v>
      </c>
      <c r="BK317" s="409">
        <v>0</v>
      </c>
      <c r="BL317" s="409">
        <v>1</v>
      </c>
      <c r="BM317" s="409"/>
      <c r="BN317" s="409"/>
      <c r="BO317" s="409"/>
      <c r="BP317" s="409"/>
      <c r="BQ317" s="409"/>
      <c r="BR317" s="409"/>
      <c r="BS317" s="409"/>
      <c r="BT317" s="409"/>
      <c r="BU317" s="409"/>
      <c r="BV317" s="409"/>
      <c r="BW317" s="409"/>
      <c r="BX317" s="409"/>
      <c r="BY317" s="409"/>
      <c r="BZ317" s="409"/>
      <c r="CA317" s="409"/>
      <c r="CB317" s="409"/>
      <c r="CC317" s="409"/>
      <c r="CD317" s="409"/>
      <c r="CE317" s="409"/>
      <c r="CF317" s="409"/>
      <c r="CG317" s="409"/>
      <c r="CH317" s="409"/>
      <c r="CI317" s="409"/>
      <c r="CJ317" s="409">
        <v>-0.03</v>
      </c>
      <c r="CK317" s="409"/>
      <c r="CL317" s="409"/>
      <c r="CM317" s="409"/>
      <c r="CN317" s="409"/>
      <c r="CO317" s="409">
        <v>0</v>
      </c>
      <c r="CP317" s="409">
        <v>0</v>
      </c>
      <c r="CQ317" s="409">
        <v>31</v>
      </c>
      <c r="CR317" s="409"/>
      <c r="CS317" s="409"/>
      <c r="CT317" s="409"/>
      <c r="CU317" s="409"/>
      <c r="CV317" s="409"/>
      <c r="CW317" s="409"/>
      <c r="CX317" s="409"/>
      <c r="CY317" s="409"/>
      <c r="CZ317" s="409"/>
      <c r="DA317" s="409"/>
      <c r="DB317" s="409"/>
      <c r="DC317" s="409"/>
      <c r="DD317" s="409"/>
      <c r="DE317" s="409"/>
      <c r="DF317" s="409"/>
      <c r="DG317" s="409"/>
      <c r="DH317" s="409"/>
      <c r="DI317" s="409"/>
      <c r="DJ317" s="409"/>
      <c r="DK317" s="409">
        <v>0</v>
      </c>
      <c r="DL317" s="409"/>
      <c r="DM317" s="409"/>
      <c r="DN317" s="409"/>
      <c r="DO317" s="409"/>
      <c r="DP317" s="409"/>
      <c r="DQ317" s="409"/>
      <c r="DR317" s="409"/>
      <c r="DS317" s="409"/>
      <c r="DT317" s="409"/>
      <c r="DU317" s="409"/>
      <c r="DV317" s="409"/>
      <c r="DW317" s="409"/>
      <c r="DX317" s="409"/>
      <c r="DY317" s="409"/>
      <c r="DZ317" s="409"/>
      <c r="EA317" s="409"/>
      <c r="EB317" s="409"/>
      <c r="EC317" s="409"/>
      <c r="ED317" s="409"/>
      <c r="EE317" s="409"/>
      <c r="EF317" s="409"/>
      <c r="EG317" s="409"/>
      <c r="EH317" s="409"/>
      <c r="EI317" s="409"/>
      <c r="EJ317" s="409"/>
      <c r="EK317" s="409"/>
      <c r="EL317" s="409"/>
      <c r="EM317" s="409"/>
      <c r="EN317" s="409"/>
      <c r="EO317" s="409"/>
      <c r="EP317" s="409"/>
      <c r="EQ317" s="409"/>
      <c r="ER317" s="409"/>
      <c r="ES317" s="409"/>
      <c r="ET317" s="409"/>
      <c r="EU317" s="409"/>
      <c r="EV317" s="409">
        <v>254</v>
      </c>
      <c r="EW317" s="409"/>
      <c r="EX317" s="409"/>
      <c r="EY317" s="409"/>
      <c r="EZ317" s="409"/>
      <c r="FA317" s="409">
        <v>0</v>
      </c>
      <c r="FB317" s="409"/>
      <c r="FC317" s="409"/>
      <c r="FD317" s="409"/>
      <c r="FE317" s="409"/>
      <c r="FF317" s="409">
        <v>0</v>
      </c>
      <c r="FG317" s="409">
        <v>0</v>
      </c>
      <c r="FH317" s="409">
        <v>0</v>
      </c>
      <c r="FI317" s="409">
        <v>0</v>
      </c>
    </row>
    <row r="318" spans="1:165">
      <c r="A318" s="409">
        <v>316</v>
      </c>
      <c r="B318" s="409" t="s">
        <v>1035</v>
      </c>
      <c r="C318" s="409" t="s">
        <v>2252</v>
      </c>
      <c r="D318" s="409" t="s">
        <v>1994</v>
      </c>
      <c r="E318" s="409" t="s">
        <v>997</v>
      </c>
      <c r="F318" s="409" t="s">
        <v>1323</v>
      </c>
      <c r="G318" s="409" t="s">
        <v>1323</v>
      </c>
      <c r="H318" s="409" t="s">
        <v>1323</v>
      </c>
      <c r="I318" s="409" t="s">
        <v>2253</v>
      </c>
      <c r="J318" s="409" t="s">
        <v>2245</v>
      </c>
      <c r="K318" s="835">
        <v>44621</v>
      </c>
      <c r="L318" s="409">
        <v>0</v>
      </c>
      <c r="M318" s="409">
        <v>0</v>
      </c>
      <c r="N318" s="409">
        <v>1.4E-2</v>
      </c>
      <c r="O318" s="409">
        <v>1.4E-2</v>
      </c>
      <c r="P318" s="409">
        <v>1.4E-2</v>
      </c>
      <c r="Q318" s="409">
        <v>1.4E-2</v>
      </c>
      <c r="R318" s="409"/>
      <c r="S318" s="409">
        <v>1097.8699999999999</v>
      </c>
      <c r="T318" s="409">
        <v>243.39</v>
      </c>
      <c r="U318" s="409"/>
      <c r="V318" s="409">
        <v>18.777639999999998</v>
      </c>
      <c r="W318" s="409">
        <v>18.777639999999998</v>
      </c>
      <c r="X318" s="409">
        <v>16.488219999999998</v>
      </c>
      <c r="Y318" s="409">
        <v>0</v>
      </c>
      <c r="Z318" s="409">
        <v>0.34836868451276642</v>
      </c>
      <c r="AA318" s="409">
        <v>0</v>
      </c>
      <c r="AB318" s="409">
        <v>0</v>
      </c>
      <c r="AC318" s="409">
        <v>0</v>
      </c>
      <c r="AD318" s="409">
        <v>3.1992877995222062</v>
      </c>
      <c r="AE318" s="409">
        <v>11.194054416997425</v>
      </c>
      <c r="AF318" s="409">
        <v>3.4074214272176118</v>
      </c>
      <c r="AG318" s="409">
        <v>0</v>
      </c>
      <c r="AH318" s="409">
        <v>0</v>
      </c>
      <c r="AI318" s="409">
        <v>0</v>
      </c>
      <c r="AJ318" s="409">
        <v>0</v>
      </c>
      <c r="AK318" s="409">
        <v>0</v>
      </c>
      <c r="AL318" s="409">
        <v>0.14222727155578199</v>
      </c>
      <c r="AM318" s="409"/>
      <c r="AN318" s="409">
        <v>2.40361998822008E-2</v>
      </c>
      <c r="AO318" s="409">
        <v>0</v>
      </c>
      <c r="AP318" s="409">
        <v>0</v>
      </c>
      <c r="AQ318" s="409">
        <v>0</v>
      </c>
      <c r="AR318" s="409">
        <v>0</v>
      </c>
      <c r="AS318" s="409">
        <v>0</v>
      </c>
      <c r="AT318" s="409">
        <v>0</v>
      </c>
      <c r="AU318" s="409">
        <v>0</v>
      </c>
      <c r="AV318" s="409">
        <v>0</v>
      </c>
      <c r="AW318" s="409">
        <v>0</v>
      </c>
      <c r="AX318" s="409">
        <v>0</v>
      </c>
      <c r="AY318" s="409">
        <v>0</v>
      </c>
      <c r="AZ318" s="409">
        <v>0</v>
      </c>
      <c r="BA318" s="409"/>
      <c r="BB318" s="409">
        <v>0</v>
      </c>
      <c r="BC318" s="409">
        <v>0</v>
      </c>
      <c r="BD318" s="409">
        <v>0</v>
      </c>
      <c r="BE318" s="409">
        <v>0</v>
      </c>
      <c r="BF318" s="409">
        <v>0</v>
      </c>
      <c r="BG318" s="409">
        <v>0.46227061073408876</v>
      </c>
      <c r="BH318" s="409">
        <v>0</v>
      </c>
      <c r="BI318" s="409">
        <v>0</v>
      </c>
      <c r="BJ318" s="409">
        <v>0</v>
      </c>
      <c r="BK318" s="409">
        <v>0</v>
      </c>
      <c r="BL318" s="409">
        <v>0</v>
      </c>
      <c r="BM318" s="409"/>
      <c r="BN318" s="409"/>
      <c r="BO318" s="409"/>
      <c r="BP318" s="409"/>
      <c r="BQ318" s="409"/>
      <c r="BR318" s="409"/>
      <c r="BS318" s="409"/>
      <c r="BT318" s="409"/>
      <c r="BU318" s="409"/>
      <c r="BV318" s="409">
        <v>3.8696920379517006</v>
      </c>
      <c r="BW318" s="409"/>
      <c r="BX318" s="409"/>
      <c r="BY318" s="409"/>
      <c r="BZ318" s="409"/>
      <c r="CA318" s="409"/>
      <c r="CB318" s="409"/>
      <c r="CC318" s="409"/>
      <c r="CD318" s="409"/>
      <c r="CE318" s="409"/>
      <c r="CF318" s="409"/>
      <c r="CG318" s="409"/>
      <c r="CH318" s="409"/>
      <c r="CI318" s="409">
        <v>11.7773</v>
      </c>
      <c r="CJ318" s="409">
        <v>-7.0303399999999989</v>
      </c>
      <c r="CK318" s="409"/>
      <c r="CL318" s="409"/>
      <c r="CM318" s="409"/>
      <c r="CN318" s="409"/>
      <c r="CO318" s="409">
        <v>-2.4078599999999986</v>
      </c>
      <c r="CP318" s="409">
        <v>0.11844000000000011</v>
      </c>
      <c r="CQ318" s="409">
        <v>31</v>
      </c>
      <c r="CR318" s="409">
        <v>0.2765673265639137</v>
      </c>
      <c r="CS318" s="409">
        <v>0</v>
      </c>
      <c r="CT318" s="409">
        <v>0</v>
      </c>
      <c r="CU318" s="409">
        <v>0</v>
      </c>
      <c r="CV318" s="409">
        <v>0</v>
      </c>
      <c r="CW318" s="409">
        <v>0</v>
      </c>
      <c r="CX318" s="409">
        <v>0</v>
      </c>
      <c r="CY318" s="409">
        <v>0</v>
      </c>
      <c r="CZ318" s="409">
        <v>0.11994327752602985</v>
      </c>
      <c r="DA318" s="409">
        <v>0</v>
      </c>
      <c r="DB318" s="409">
        <v>0</v>
      </c>
      <c r="DC318" s="409">
        <v>0.15609365784770812</v>
      </c>
      <c r="DD318" s="409">
        <v>0</v>
      </c>
      <c r="DE318" s="409">
        <v>0</v>
      </c>
      <c r="DF318" s="409">
        <v>0</v>
      </c>
      <c r="DG318" s="409">
        <v>2.1176573572203095E-2</v>
      </c>
      <c r="DH318" s="409">
        <v>0</v>
      </c>
      <c r="DI318" s="409">
        <v>-2.5406112634098199E-3</v>
      </c>
      <c r="DJ318" s="409"/>
      <c r="DK318" s="409">
        <v>0</v>
      </c>
      <c r="DL318" s="409">
        <v>0</v>
      </c>
      <c r="DM318" s="409">
        <v>0</v>
      </c>
      <c r="DN318" s="409">
        <v>0</v>
      </c>
      <c r="DO318" s="409">
        <v>-7.9774597012879922E-4</v>
      </c>
      <c r="DP318" s="409">
        <v>-1.4158125938128173E-3</v>
      </c>
      <c r="DQ318" s="409">
        <v>0</v>
      </c>
      <c r="DR318" s="409">
        <v>-1.58920125546749E-2</v>
      </c>
      <c r="DS318" s="409"/>
      <c r="DT318" s="409"/>
      <c r="DU318" s="409"/>
      <c r="DV318" s="409">
        <v>11.194054416997425</v>
      </c>
      <c r="DW318" s="409">
        <v>0</v>
      </c>
      <c r="DX318" s="409">
        <v>0</v>
      </c>
      <c r="DY318" s="409">
        <v>-2.4078599999999994</v>
      </c>
      <c r="DZ318" s="409">
        <v>0.1184400000000001</v>
      </c>
      <c r="EA318" s="409">
        <v>0</v>
      </c>
      <c r="EB318" s="409">
        <v>0</v>
      </c>
      <c r="EC318" s="409">
        <v>-2.5659404943010156</v>
      </c>
      <c r="ED318" s="409">
        <v>0</v>
      </c>
      <c r="EE318" s="409">
        <v>0</v>
      </c>
      <c r="EF318" s="409">
        <v>0</v>
      </c>
      <c r="EG318" s="409">
        <v>0</v>
      </c>
      <c r="EH318" s="409">
        <v>0</v>
      </c>
      <c r="EI318" s="409">
        <v>0</v>
      </c>
      <c r="EJ318" s="409">
        <v>0</v>
      </c>
      <c r="EK318" s="409">
        <v>0</v>
      </c>
      <c r="EL318" s="409">
        <v>0</v>
      </c>
      <c r="EM318" s="409">
        <v>0</v>
      </c>
      <c r="EN318" s="409">
        <v>0</v>
      </c>
      <c r="EO318" s="409">
        <v>0</v>
      </c>
      <c r="EP318" s="409">
        <v>0</v>
      </c>
      <c r="EQ318" s="409">
        <v>0</v>
      </c>
      <c r="ER318" s="409">
        <v>0</v>
      </c>
      <c r="ES318" s="409">
        <v>0</v>
      </c>
      <c r="ET318" s="409">
        <v>0</v>
      </c>
      <c r="EU318" s="409">
        <v>0</v>
      </c>
      <c r="EV318" s="409">
        <v>254</v>
      </c>
      <c r="EW318" s="409">
        <v>0</v>
      </c>
      <c r="EX318" s="409">
        <v>0</v>
      </c>
      <c r="EY318" s="409">
        <v>0</v>
      </c>
      <c r="EZ318" s="409"/>
      <c r="FA318" s="409">
        <v>0</v>
      </c>
      <c r="FB318" s="409"/>
      <c r="FC318" s="409"/>
      <c r="FD318" s="409"/>
      <c r="FE318" s="409"/>
      <c r="FF318" s="409">
        <v>0</v>
      </c>
      <c r="FG318" s="409">
        <v>0</v>
      </c>
      <c r="FH318" s="409">
        <v>0</v>
      </c>
      <c r="FI318" s="409">
        <v>0</v>
      </c>
    </row>
    <row r="319" spans="1:165">
      <c r="A319" s="409">
        <v>317</v>
      </c>
      <c r="B319" s="409" t="s">
        <v>1035</v>
      </c>
      <c r="C319" s="409" t="s">
        <v>2244</v>
      </c>
      <c r="D319" s="409" t="s">
        <v>2254</v>
      </c>
      <c r="E319" s="409" t="s">
        <v>973</v>
      </c>
      <c r="F319" s="409" t="s">
        <v>1323</v>
      </c>
      <c r="G319" s="409" t="s">
        <v>1323</v>
      </c>
      <c r="H319" s="409" t="s">
        <v>1323</v>
      </c>
      <c r="I319" s="409" t="s">
        <v>1323</v>
      </c>
      <c r="J319" s="409" t="s">
        <v>2245</v>
      </c>
      <c r="K319" s="835">
        <v>44621</v>
      </c>
      <c r="L319" s="409">
        <v>0</v>
      </c>
      <c r="M319" s="409">
        <v>0</v>
      </c>
      <c r="N319" s="409">
        <v>211.785</v>
      </c>
      <c r="O319" s="409">
        <v>211.785</v>
      </c>
      <c r="P319" s="409">
        <v>211.785</v>
      </c>
      <c r="Q319" s="409">
        <v>211.785</v>
      </c>
      <c r="R319" s="409"/>
      <c r="S319" s="409">
        <v>597.01</v>
      </c>
      <c r="T319" s="409">
        <v>243.39</v>
      </c>
      <c r="U319" s="409"/>
      <c r="V319" s="409">
        <v>177984.114</v>
      </c>
      <c r="W319" s="409">
        <v>177984.114</v>
      </c>
      <c r="X319" s="409">
        <v>161227.68479999999</v>
      </c>
      <c r="Y319" s="409">
        <v>0</v>
      </c>
      <c r="Z319" s="409">
        <v>5269.9472749668739</v>
      </c>
      <c r="AA319" s="409">
        <v>0</v>
      </c>
      <c r="AB319" s="409">
        <v>0</v>
      </c>
      <c r="AC319" s="409">
        <v>0</v>
      </c>
      <c r="AD319" s="409">
        <v>24818.88626017022</v>
      </c>
      <c r="AE319" s="409">
        <v>86840.008966900612</v>
      </c>
      <c r="AF319" s="409">
        <v>51545.767640234422</v>
      </c>
      <c r="AG319" s="409">
        <v>0</v>
      </c>
      <c r="AH319" s="409">
        <v>0</v>
      </c>
      <c r="AI319" s="409">
        <v>0</v>
      </c>
      <c r="AJ319" s="409">
        <v>0</v>
      </c>
      <c r="AK319" s="409">
        <v>0</v>
      </c>
      <c r="AL319" s="409">
        <v>2151.5430504600922</v>
      </c>
      <c r="AM319" s="409"/>
      <c r="AN319" s="409">
        <v>363.60761371799259</v>
      </c>
      <c r="AO319" s="409">
        <v>0</v>
      </c>
      <c r="AP319" s="409">
        <v>0</v>
      </c>
      <c r="AQ319" s="409">
        <v>0</v>
      </c>
      <c r="AR319" s="409">
        <v>0</v>
      </c>
      <c r="AS319" s="409">
        <v>0</v>
      </c>
      <c r="AT319" s="409">
        <v>0</v>
      </c>
      <c r="AU319" s="409">
        <v>0</v>
      </c>
      <c r="AV319" s="409">
        <v>0</v>
      </c>
      <c r="AW319" s="409">
        <v>0</v>
      </c>
      <c r="AX319" s="409">
        <v>0</v>
      </c>
      <c r="AY319" s="409">
        <v>0</v>
      </c>
      <c r="AZ319" s="409">
        <v>0</v>
      </c>
      <c r="BA319" s="409"/>
      <c r="BB319" s="409">
        <v>0</v>
      </c>
      <c r="BC319" s="409">
        <v>0</v>
      </c>
      <c r="BD319" s="409">
        <v>0</v>
      </c>
      <c r="BE319" s="409">
        <v>0</v>
      </c>
      <c r="BF319" s="409">
        <v>0</v>
      </c>
      <c r="BG319" s="409">
        <v>6992.9986638799282</v>
      </c>
      <c r="BH319" s="409">
        <v>0</v>
      </c>
      <c r="BI319" s="409">
        <v>105.37</v>
      </c>
      <c r="BJ319" s="409">
        <v>486.49</v>
      </c>
      <c r="BK319" s="409">
        <v>0</v>
      </c>
      <c r="BL319" s="409">
        <v>1573</v>
      </c>
      <c r="BM319" s="409"/>
      <c r="BN319" s="409"/>
      <c r="BO319" s="409"/>
      <c r="BP319" s="409"/>
      <c r="BQ319" s="409"/>
      <c r="BR319" s="409">
        <v>19348.677599999995</v>
      </c>
      <c r="BS319" s="409"/>
      <c r="BT319" s="409"/>
      <c r="BU319" s="409"/>
      <c r="BV319" s="409">
        <v>58538.766304114353</v>
      </c>
      <c r="BW319" s="409"/>
      <c r="BX319" s="409"/>
      <c r="BY319" s="409"/>
      <c r="BZ319" s="409"/>
      <c r="CA319" s="409"/>
      <c r="CB319" s="409"/>
      <c r="CC319" s="409"/>
      <c r="CD319" s="409"/>
      <c r="CE319" s="409"/>
      <c r="CF319" s="409"/>
      <c r="CG319" s="409"/>
      <c r="CH319" s="409"/>
      <c r="CI319" s="409">
        <v>141882.35680000001</v>
      </c>
      <c r="CJ319" s="409">
        <v>-14743.269949999987</v>
      </c>
      <c r="CK319" s="409"/>
      <c r="CL319" s="409"/>
      <c r="CM319" s="409"/>
      <c r="CN319" s="409"/>
      <c r="CO319" s="409">
        <v>-18548.130299999997</v>
      </c>
      <c r="CP319" s="409">
        <v>1791.7011000000016</v>
      </c>
      <c r="CQ319" s="409">
        <v>31</v>
      </c>
      <c r="CR319" s="409">
        <v>3150.0526063534198</v>
      </c>
      <c r="CS319" s="409">
        <v>0</v>
      </c>
      <c r="CT319" s="409">
        <v>0</v>
      </c>
      <c r="CU319" s="409">
        <v>0</v>
      </c>
      <c r="CV319" s="409">
        <v>0</v>
      </c>
      <c r="CW319" s="409">
        <v>0</v>
      </c>
      <c r="CX319" s="409">
        <v>0</v>
      </c>
      <c r="CY319" s="409">
        <v>0</v>
      </c>
      <c r="CZ319" s="409">
        <v>930.47538987752705</v>
      </c>
      <c r="DA319" s="409">
        <v>0</v>
      </c>
      <c r="DB319" s="409">
        <v>0</v>
      </c>
      <c r="DC319" s="409">
        <v>2361.3068090912057</v>
      </c>
      <c r="DD319" s="409">
        <v>0</v>
      </c>
      <c r="DE319" s="409">
        <v>0</v>
      </c>
      <c r="DF319" s="409">
        <v>0</v>
      </c>
      <c r="DG319" s="409">
        <v>320.34861671350154</v>
      </c>
      <c r="DH319" s="409">
        <v>0</v>
      </c>
      <c r="DI319" s="409">
        <v>-38.433096887231841</v>
      </c>
      <c r="DJ319" s="409"/>
      <c r="DK319" s="409">
        <v>0</v>
      </c>
      <c r="DL319" s="409">
        <v>0</v>
      </c>
      <c r="DM319" s="409">
        <v>0</v>
      </c>
      <c r="DN319" s="409">
        <v>0</v>
      </c>
      <c r="DO319" s="409">
        <v>-12.067902163123563</v>
      </c>
      <c r="DP319" s="409">
        <v>-21.417705012903411</v>
      </c>
      <c r="DQ319" s="409">
        <v>0</v>
      </c>
      <c r="DR319" s="409">
        <v>-390.15950526556276</v>
      </c>
      <c r="DS319" s="409"/>
      <c r="DT319" s="409"/>
      <c r="DU319" s="409"/>
      <c r="DV319" s="409">
        <v>86840.008966900612</v>
      </c>
      <c r="DW319" s="409">
        <v>0</v>
      </c>
      <c r="DX319" s="409">
        <v>0</v>
      </c>
      <c r="DY319" s="409">
        <v>-18548.130300000004</v>
      </c>
      <c r="DZ319" s="409">
        <v>1791.7011000000057</v>
      </c>
      <c r="EA319" s="409">
        <v>0</v>
      </c>
      <c r="EB319" s="409">
        <v>0</v>
      </c>
      <c r="EC319" s="409">
        <v>-19905.772049427134</v>
      </c>
      <c r="ED319" s="409">
        <v>0</v>
      </c>
      <c r="EE319" s="409">
        <v>0</v>
      </c>
      <c r="EF319" s="409">
        <v>0</v>
      </c>
      <c r="EG319" s="409">
        <v>0</v>
      </c>
      <c r="EH319" s="409">
        <v>0</v>
      </c>
      <c r="EI319" s="409">
        <v>0</v>
      </c>
      <c r="EJ319" s="409">
        <v>0</v>
      </c>
      <c r="EK319" s="409">
        <v>0</v>
      </c>
      <c r="EL319" s="409">
        <v>0</v>
      </c>
      <c r="EM319" s="409">
        <v>0</v>
      </c>
      <c r="EN319" s="409">
        <v>0</v>
      </c>
      <c r="EO319" s="409">
        <v>0</v>
      </c>
      <c r="EP319" s="409">
        <v>0</v>
      </c>
      <c r="EQ319" s="409">
        <v>0</v>
      </c>
      <c r="ER319" s="409">
        <v>0</v>
      </c>
      <c r="ES319" s="409">
        <v>0</v>
      </c>
      <c r="ET319" s="409">
        <v>0</v>
      </c>
      <c r="EU319" s="409">
        <v>0</v>
      </c>
      <c r="EV319" s="409">
        <v>254</v>
      </c>
      <c r="EW319" s="409">
        <v>0</v>
      </c>
      <c r="EX319" s="409">
        <v>0</v>
      </c>
      <c r="EY319" s="409">
        <v>0</v>
      </c>
      <c r="EZ319" s="409"/>
      <c r="FA319" s="409">
        <v>0</v>
      </c>
      <c r="FB319" s="409"/>
      <c r="FC319" s="409"/>
      <c r="FD319" s="409"/>
      <c r="FE319" s="409"/>
      <c r="FF319" s="409">
        <v>0</v>
      </c>
      <c r="FG319" s="409">
        <v>0</v>
      </c>
      <c r="FH319" s="409">
        <v>0</v>
      </c>
      <c r="FI319" s="409">
        <v>0</v>
      </c>
    </row>
    <row r="320" spans="1:165">
      <c r="A320" s="409">
        <v>318</v>
      </c>
      <c r="B320" s="409" t="s">
        <v>2246</v>
      </c>
      <c r="C320" s="409" t="s">
        <v>2244</v>
      </c>
      <c r="D320" s="409" t="s">
        <v>2254</v>
      </c>
      <c r="E320" s="409" t="s">
        <v>973</v>
      </c>
      <c r="F320" s="409" t="s">
        <v>1323</v>
      </c>
      <c r="G320" s="409" t="s">
        <v>1323</v>
      </c>
      <c r="H320" s="409" t="s">
        <v>1323</v>
      </c>
      <c r="I320" s="409" t="s">
        <v>1323</v>
      </c>
      <c r="J320" s="409" t="s">
        <v>2245</v>
      </c>
      <c r="K320" s="835">
        <v>44621</v>
      </c>
      <c r="L320" s="409">
        <v>0</v>
      </c>
      <c r="M320" s="409">
        <v>0</v>
      </c>
      <c r="N320" s="409">
        <v>1.1879999999999999</v>
      </c>
      <c r="O320" s="409">
        <v>1.1879999999999999</v>
      </c>
      <c r="P320" s="409">
        <v>1.1879999999999999</v>
      </c>
      <c r="Q320" s="409">
        <v>1.1879999999999999</v>
      </c>
      <c r="R320" s="409"/>
      <c r="S320" s="409">
        <v>597.01</v>
      </c>
      <c r="T320" s="409">
        <v>243.39</v>
      </c>
      <c r="U320" s="409"/>
      <c r="V320" s="409">
        <v>998.39519999999993</v>
      </c>
      <c r="W320" s="409">
        <v>998.39519999999993</v>
      </c>
      <c r="X320" s="409">
        <v>904.40063999999984</v>
      </c>
      <c r="Y320" s="409">
        <v>0</v>
      </c>
      <c r="Z320" s="409">
        <v>29.561571228654749</v>
      </c>
      <c r="AA320" s="409">
        <v>0</v>
      </c>
      <c r="AB320" s="409">
        <v>0</v>
      </c>
      <c r="AC320" s="409">
        <v>0</v>
      </c>
      <c r="AD320" s="409">
        <v>139.22060994443527</v>
      </c>
      <c r="AE320" s="409">
        <v>487.12576741826814</v>
      </c>
      <c r="AF320" s="409">
        <v>289.14404682389448</v>
      </c>
      <c r="AG320" s="409">
        <v>0</v>
      </c>
      <c r="AH320" s="409">
        <v>0</v>
      </c>
      <c r="AI320" s="409">
        <v>0</v>
      </c>
      <c r="AJ320" s="409">
        <v>0</v>
      </c>
      <c r="AK320" s="409">
        <v>0</v>
      </c>
      <c r="AL320" s="409">
        <v>12.068999900590642</v>
      </c>
      <c r="AM320" s="409"/>
      <c r="AN320" s="409">
        <v>2.0396432471467536</v>
      </c>
      <c r="AO320" s="409">
        <v>0</v>
      </c>
      <c r="AP320" s="409">
        <v>0</v>
      </c>
      <c r="AQ320" s="409">
        <v>0</v>
      </c>
      <c r="AR320" s="409">
        <v>0</v>
      </c>
      <c r="AS320" s="409">
        <v>0</v>
      </c>
      <c r="AT320" s="409">
        <v>0</v>
      </c>
      <c r="AU320" s="409">
        <v>0</v>
      </c>
      <c r="AV320" s="409">
        <v>0</v>
      </c>
      <c r="AW320" s="409">
        <v>0</v>
      </c>
      <c r="AX320" s="409">
        <v>0</v>
      </c>
      <c r="AY320" s="409">
        <v>0</v>
      </c>
      <c r="AZ320" s="409">
        <v>0</v>
      </c>
      <c r="BA320" s="409"/>
      <c r="BB320" s="409">
        <v>0</v>
      </c>
      <c r="BC320" s="409">
        <v>0</v>
      </c>
      <c r="BD320" s="409">
        <v>0</v>
      </c>
      <c r="BE320" s="409">
        <v>0</v>
      </c>
      <c r="BF320" s="409">
        <v>0</v>
      </c>
      <c r="BG320" s="409">
        <v>39.226963253721244</v>
      </c>
      <c r="BH320" s="409">
        <v>0</v>
      </c>
      <c r="BI320" s="409">
        <v>0</v>
      </c>
      <c r="BJ320" s="409">
        <v>0</v>
      </c>
      <c r="BK320" s="409">
        <v>0</v>
      </c>
      <c r="BL320" s="409">
        <v>8</v>
      </c>
      <c r="BM320" s="409"/>
      <c r="BN320" s="409"/>
      <c r="BO320" s="409"/>
      <c r="BP320" s="409"/>
      <c r="BQ320" s="409"/>
      <c r="BR320" s="409">
        <v>108.53567999999997</v>
      </c>
      <c r="BS320" s="409"/>
      <c r="BT320" s="409"/>
      <c r="BU320" s="409"/>
      <c r="BV320" s="409">
        <v>328.37101007761572</v>
      </c>
      <c r="BW320" s="409"/>
      <c r="BX320" s="409"/>
      <c r="BY320" s="409"/>
      <c r="BZ320" s="409"/>
      <c r="CA320" s="409"/>
      <c r="CB320" s="409"/>
      <c r="CC320" s="409"/>
      <c r="CD320" s="409"/>
      <c r="CE320" s="409"/>
      <c r="CF320" s="409"/>
      <c r="CG320" s="409"/>
      <c r="CH320" s="409"/>
      <c r="CI320" s="409">
        <v>797.20479999999998</v>
      </c>
      <c r="CJ320" s="409">
        <v>-81.410599999999931</v>
      </c>
      <c r="CK320" s="409"/>
      <c r="CL320" s="409"/>
      <c r="CM320" s="409"/>
      <c r="CN320" s="409"/>
      <c r="CO320" s="409">
        <v>-104.04503999999997</v>
      </c>
      <c r="CP320" s="409">
        <v>10.050480000000009</v>
      </c>
      <c r="CQ320" s="409">
        <v>31</v>
      </c>
      <c r="CR320" s="409">
        <v>17.670101736892832</v>
      </c>
      <c r="CS320" s="409">
        <v>0</v>
      </c>
      <c r="CT320" s="409">
        <v>0</v>
      </c>
      <c r="CU320" s="409">
        <v>0</v>
      </c>
      <c r="CV320" s="409">
        <v>0</v>
      </c>
      <c r="CW320" s="409">
        <v>0</v>
      </c>
      <c r="CX320" s="409">
        <v>0</v>
      </c>
      <c r="CY320" s="409">
        <v>0</v>
      </c>
      <c r="CZ320" s="409">
        <v>5.2194667383171804</v>
      </c>
      <c r="DA320" s="409">
        <v>0</v>
      </c>
      <c r="DB320" s="409">
        <v>0</v>
      </c>
      <c r="DC320" s="409">
        <v>13.245661823076944</v>
      </c>
      <c r="DD320" s="409">
        <v>0</v>
      </c>
      <c r="DE320" s="409">
        <v>0</v>
      </c>
      <c r="DF320" s="409">
        <v>0</v>
      </c>
      <c r="DG320" s="409">
        <v>1.7969835288412312</v>
      </c>
      <c r="DH320" s="409">
        <v>0</v>
      </c>
      <c r="DI320" s="409">
        <v>-0.21558901292363331</v>
      </c>
      <c r="DJ320" s="409"/>
      <c r="DK320" s="409">
        <v>0</v>
      </c>
      <c r="DL320" s="409">
        <v>0</v>
      </c>
      <c r="DM320" s="409">
        <v>0</v>
      </c>
      <c r="DN320" s="409">
        <v>0</v>
      </c>
      <c r="DO320" s="409">
        <v>-6.7694443750928812E-2</v>
      </c>
      <c r="DP320" s="409">
        <v>-0.12014181153211645</v>
      </c>
      <c r="DQ320" s="409">
        <v>0</v>
      </c>
      <c r="DR320" s="409">
        <v>-2.1885850851358151</v>
      </c>
      <c r="DS320" s="409"/>
      <c r="DT320" s="409"/>
      <c r="DU320" s="409"/>
      <c r="DV320" s="409">
        <v>487.12576741826814</v>
      </c>
      <c r="DW320" s="409">
        <v>0</v>
      </c>
      <c r="DX320" s="409">
        <v>0</v>
      </c>
      <c r="DY320" s="409">
        <v>-104.04504000000009</v>
      </c>
      <c r="DZ320" s="409">
        <v>10.050479999999993</v>
      </c>
      <c r="EA320" s="409">
        <v>0</v>
      </c>
      <c r="EB320" s="409">
        <v>0</v>
      </c>
      <c r="EC320" s="409">
        <v>-111.66068038208289</v>
      </c>
      <c r="ED320" s="409">
        <v>0</v>
      </c>
      <c r="EE320" s="409">
        <v>0</v>
      </c>
      <c r="EF320" s="409">
        <v>0</v>
      </c>
      <c r="EG320" s="409">
        <v>0</v>
      </c>
      <c r="EH320" s="409">
        <v>0</v>
      </c>
      <c r="EI320" s="409">
        <v>0</v>
      </c>
      <c r="EJ320" s="409">
        <v>0</v>
      </c>
      <c r="EK320" s="409">
        <v>0</v>
      </c>
      <c r="EL320" s="409">
        <v>0</v>
      </c>
      <c r="EM320" s="409">
        <v>0</v>
      </c>
      <c r="EN320" s="409">
        <v>0</v>
      </c>
      <c r="EO320" s="409">
        <v>0</v>
      </c>
      <c r="EP320" s="409">
        <v>0</v>
      </c>
      <c r="EQ320" s="409">
        <v>0</v>
      </c>
      <c r="ER320" s="409">
        <v>0</v>
      </c>
      <c r="ES320" s="409">
        <v>0</v>
      </c>
      <c r="ET320" s="409">
        <v>0</v>
      </c>
      <c r="EU320" s="409">
        <v>0</v>
      </c>
      <c r="EV320" s="409">
        <v>254</v>
      </c>
      <c r="EW320" s="409">
        <v>0</v>
      </c>
      <c r="EX320" s="409">
        <v>0</v>
      </c>
      <c r="EY320" s="409">
        <v>0</v>
      </c>
      <c r="EZ320" s="409"/>
      <c r="FA320" s="409">
        <v>0</v>
      </c>
      <c r="FB320" s="409"/>
      <c r="FC320" s="409"/>
      <c r="FD320" s="409"/>
      <c r="FE320" s="409"/>
      <c r="FF320" s="409">
        <v>0</v>
      </c>
      <c r="FG320" s="409">
        <v>0</v>
      </c>
      <c r="FH320" s="409">
        <v>0</v>
      </c>
      <c r="FI320" s="409">
        <v>0</v>
      </c>
    </row>
    <row r="321" spans="1:165">
      <c r="A321" s="409">
        <v>319</v>
      </c>
      <c r="B321" s="409" t="s">
        <v>1035</v>
      </c>
      <c r="C321" s="409" t="s">
        <v>2252</v>
      </c>
      <c r="D321" s="409" t="s">
        <v>2254</v>
      </c>
      <c r="E321" s="409" t="s">
        <v>973</v>
      </c>
      <c r="F321" s="409" t="s">
        <v>1323</v>
      </c>
      <c r="G321" s="409" t="s">
        <v>1323</v>
      </c>
      <c r="H321" s="409" t="s">
        <v>1323</v>
      </c>
      <c r="I321" s="409" t="s">
        <v>972</v>
      </c>
      <c r="J321" s="409" t="s">
        <v>2245</v>
      </c>
      <c r="K321" s="835">
        <v>44621</v>
      </c>
      <c r="L321" s="409">
        <v>0</v>
      </c>
      <c r="M321" s="409">
        <v>0</v>
      </c>
      <c r="N321" s="409">
        <v>3.6999999999999998E-2</v>
      </c>
      <c r="O321" s="409">
        <v>3.6999999999999998E-2</v>
      </c>
      <c r="P321" s="409">
        <v>3.6999999999999998E-2</v>
      </c>
      <c r="Q321" s="409">
        <v>3.6999999999999998E-2</v>
      </c>
      <c r="R321" s="409"/>
      <c r="S321" s="409">
        <v>1298.56</v>
      </c>
      <c r="T321" s="409">
        <v>214.18</v>
      </c>
      <c r="U321" s="409"/>
      <c r="V321" s="409">
        <v>55.971379999999996</v>
      </c>
      <c r="W321" s="409">
        <v>55.971379999999996</v>
      </c>
      <c r="X321" s="409">
        <v>48.573970000000003</v>
      </c>
      <c r="Y321" s="409">
        <v>0</v>
      </c>
      <c r="Z321" s="409">
        <v>0.81020602626683424</v>
      </c>
      <c r="AA321" s="409">
        <v>0</v>
      </c>
      <c r="AB321" s="409">
        <v>0</v>
      </c>
      <c r="AC321" s="409">
        <v>0</v>
      </c>
      <c r="AD321" s="409">
        <v>10.174563614464173</v>
      </c>
      <c r="AE321" s="409">
        <v>35.600135179076972</v>
      </c>
      <c r="AF321" s="409">
        <v>7.9246886907289582</v>
      </c>
      <c r="AG321" s="409">
        <v>0</v>
      </c>
      <c r="AH321" s="409">
        <v>0</v>
      </c>
      <c r="AI321" s="409">
        <v>0</v>
      </c>
      <c r="AJ321" s="409">
        <v>0</v>
      </c>
      <c r="AK321" s="409">
        <v>0</v>
      </c>
      <c r="AL321" s="409">
        <v>0.33077999727544694</v>
      </c>
      <c r="AM321" s="409"/>
      <c r="AN321" s="409">
        <v>5.5901333440318578E-2</v>
      </c>
      <c r="AO321" s="409">
        <v>0</v>
      </c>
      <c r="AP321" s="409">
        <v>0</v>
      </c>
      <c r="AQ321" s="409">
        <v>0</v>
      </c>
      <c r="AR321" s="409">
        <v>0</v>
      </c>
      <c r="AS321" s="409">
        <v>0</v>
      </c>
      <c r="AT321" s="409">
        <v>0</v>
      </c>
      <c r="AU321" s="409">
        <v>0</v>
      </c>
      <c r="AV321" s="409">
        <v>0</v>
      </c>
      <c r="AW321" s="409">
        <v>0</v>
      </c>
      <c r="AX321" s="409">
        <v>0</v>
      </c>
      <c r="AY321" s="409">
        <v>0</v>
      </c>
      <c r="AZ321" s="409">
        <v>0</v>
      </c>
      <c r="BA321" s="409"/>
      <c r="BB321" s="409">
        <v>0</v>
      </c>
      <c r="BC321" s="409">
        <v>0</v>
      </c>
      <c r="BD321" s="409">
        <v>0</v>
      </c>
      <c r="BE321" s="409">
        <v>0</v>
      </c>
      <c r="BF321" s="409">
        <v>0</v>
      </c>
      <c r="BG321" s="409">
        <v>1.0751093632501381</v>
      </c>
      <c r="BH321" s="409">
        <v>0</v>
      </c>
      <c r="BI321" s="409">
        <v>0</v>
      </c>
      <c r="BJ321" s="409">
        <v>0</v>
      </c>
      <c r="BK321" s="409">
        <v>0</v>
      </c>
      <c r="BL321" s="409">
        <v>0</v>
      </c>
      <c r="BM321" s="409"/>
      <c r="BN321" s="409"/>
      <c r="BO321" s="409"/>
      <c r="BP321" s="409"/>
      <c r="BQ321" s="409"/>
      <c r="BR321" s="409"/>
      <c r="BS321" s="409"/>
      <c r="BT321" s="409"/>
      <c r="BU321" s="409"/>
      <c r="BV321" s="409">
        <v>8.9997980539790969</v>
      </c>
      <c r="BW321" s="409"/>
      <c r="BX321" s="409"/>
      <c r="BY321" s="409"/>
      <c r="BZ321" s="409"/>
      <c r="CA321" s="409"/>
      <c r="CB321" s="409"/>
      <c r="CC321" s="409"/>
      <c r="CD321" s="409"/>
      <c r="CE321" s="409"/>
      <c r="CF321" s="409"/>
      <c r="CG321" s="409"/>
      <c r="CH321" s="409"/>
      <c r="CI321" s="409">
        <v>52.512400000000007</v>
      </c>
      <c r="CJ321" s="409">
        <v>-3.4889799999999838</v>
      </c>
      <c r="CK321" s="409"/>
      <c r="CL321" s="409"/>
      <c r="CM321" s="409"/>
      <c r="CN321" s="409"/>
      <c r="CO321" s="409">
        <v>-7.6730599999999951</v>
      </c>
      <c r="CP321" s="409">
        <v>0.27564999999999956</v>
      </c>
      <c r="CQ321" s="409">
        <v>31</v>
      </c>
      <c r="CR321" s="409">
        <v>0.76307781858497137</v>
      </c>
      <c r="CS321" s="409">
        <v>0</v>
      </c>
      <c r="CT321" s="409">
        <v>0</v>
      </c>
      <c r="CU321" s="409">
        <v>0</v>
      </c>
      <c r="CV321" s="409">
        <v>0</v>
      </c>
      <c r="CW321" s="409">
        <v>0</v>
      </c>
      <c r="CX321" s="409">
        <v>0</v>
      </c>
      <c r="CY321" s="409">
        <v>0</v>
      </c>
      <c r="CZ321" s="409">
        <v>0.38145068021020201</v>
      </c>
      <c r="DA321" s="409">
        <v>0</v>
      </c>
      <c r="DB321" s="409">
        <v>0</v>
      </c>
      <c r="DC321" s="409">
        <v>0.3630292499658001</v>
      </c>
      <c r="DD321" s="409">
        <v>0</v>
      </c>
      <c r="DE321" s="409">
        <v>0</v>
      </c>
      <c r="DF321" s="409">
        <v>0</v>
      </c>
      <c r="DG321" s="409">
        <v>4.9250659679353603E-2</v>
      </c>
      <c r="DH321" s="409">
        <v>0</v>
      </c>
      <c r="DI321" s="409">
        <v>-5.908735909758156E-3</v>
      </c>
      <c r="DJ321" s="409"/>
      <c r="DK321" s="409">
        <v>0</v>
      </c>
      <c r="DL321" s="409">
        <v>0</v>
      </c>
      <c r="DM321" s="409">
        <v>0</v>
      </c>
      <c r="DN321" s="409">
        <v>0</v>
      </c>
      <c r="DO321" s="409">
        <v>-1.8553291990979215E-3</v>
      </c>
      <c r="DP321" s="409">
        <v>-3.2927755753248758E-3</v>
      </c>
      <c r="DQ321" s="409">
        <v>0</v>
      </c>
      <c r="DR321" s="409">
        <v>-1.9595930586207663E-2</v>
      </c>
      <c r="DS321" s="409"/>
      <c r="DT321" s="409"/>
      <c r="DU321" s="409"/>
      <c r="DV321" s="409">
        <v>35.600135179076972</v>
      </c>
      <c r="DW321" s="409">
        <v>0</v>
      </c>
      <c r="DX321" s="409">
        <v>0</v>
      </c>
      <c r="DY321" s="409">
        <v>-7.6730599999999924</v>
      </c>
      <c r="DZ321" s="409">
        <v>0.27564999999999973</v>
      </c>
      <c r="EA321" s="409">
        <v>0</v>
      </c>
      <c r="EB321" s="409">
        <v>0</v>
      </c>
      <c r="EC321" s="409">
        <v>-8.1603881003006329</v>
      </c>
      <c r="ED321" s="409">
        <v>0</v>
      </c>
      <c r="EE321" s="409">
        <v>0</v>
      </c>
      <c r="EF321" s="409">
        <v>0</v>
      </c>
      <c r="EG321" s="409">
        <v>0</v>
      </c>
      <c r="EH321" s="409">
        <v>0</v>
      </c>
      <c r="EI321" s="409">
        <v>0</v>
      </c>
      <c r="EJ321" s="409">
        <v>0</v>
      </c>
      <c r="EK321" s="409">
        <v>0</v>
      </c>
      <c r="EL321" s="409">
        <v>0</v>
      </c>
      <c r="EM321" s="409">
        <v>0</v>
      </c>
      <c r="EN321" s="409">
        <v>0</v>
      </c>
      <c r="EO321" s="409">
        <v>0</v>
      </c>
      <c r="EP321" s="409">
        <v>0</v>
      </c>
      <c r="EQ321" s="409">
        <v>0</v>
      </c>
      <c r="ER321" s="409">
        <v>0</v>
      </c>
      <c r="ES321" s="409">
        <v>0</v>
      </c>
      <c r="ET321" s="409">
        <v>0</v>
      </c>
      <c r="EU321" s="409">
        <v>0</v>
      </c>
      <c r="EV321" s="409">
        <v>254</v>
      </c>
      <c r="EW321" s="409">
        <v>0</v>
      </c>
      <c r="EX321" s="409">
        <v>0</v>
      </c>
      <c r="EY321" s="409">
        <v>0</v>
      </c>
      <c r="EZ321" s="409"/>
      <c r="FA321" s="409">
        <v>0</v>
      </c>
      <c r="FB321" s="409"/>
      <c r="FC321" s="409"/>
      <c r="FD321" s="409"/>
      <c r="FE321" s="409"/>
      <c r="FF321" s="409">
        <v>0</v>
      </c>
      <c r="FG321" s="409">
        <v>0</v>
      </c>
      <c r="FH321" s="409">
        <v>0</v>
      </c>
      <c r="FI321" s="409">
        <v>0</v>
      </c>
    </row>
    <row r="322" spans="1:165">
      <c r="A322" s="409">
        <v>320</v>
      </c>
      <c r="B322" s="409" t="s">
        <v>1035</v>
      </c>
      <c r="C322" s="409" t="s">
        <v>2252</v>
      </c>
      <c r="D322" s="409" t="s">
        <v>2254</v>
      </c>
      <c r="E322" s="409" t="s">
        <v>973</v>
      </c>
      <c r="F322" s="409" t="s">
        <v>1323</v>
      </c>
      <c r="G322" s="409" t="s">
        <v>1323</v>
      </c>
      <c r="H322" s="409" t="s">
        <v>1323</v>
      </c>
      <c r="I322" s="409" t="s">
        <v>2237</v>
      </c>
      <c r="J322" s="409" t="s">
        <v>2245</v>
      </c>
      <c r="K322" s="835">
        <v>44621</v>
      </c>
      <c r="L322" s="409">
        <v>0</v>
      </c>
      <c r="M322" s="409">
        <v>0</v>
      </c>
      <c r="N322" s="409">
        <v>2.86</v>
      </c>
      <c r="O322" s="409">
        <v>2.86</v>
      </c>
      <c r="P322" s="409">
        <v>2.86</v>
      </c>
      <c r="Q322" s="409">
        <v>2.86</v>
      </c>
      <c r="R322" s="409"/>
      <c r="S322" s="409">
        <v>308.83999999999997</v>
      </c>
      <c r="T322" s="409">
        <v>214.18</v>
      </c>
      <c r="U322" s="409"/>
      <c r="V322" s="409">
        <v>1495.8371999999999</v>
      </c>
      <c r="W322" s="409">
        <v>1495.8371999999999</v>
      </c>
      <c r="X322" s="409">
        <v>1401.0853999999999</v>
      </c>
      <c r="Y322" s="409">
        <v>0</v>
      </c>
      <c r="Z322" s="409">
        <v>62.626736084409352</v>
      </c>
      <c r="AA322" s="409">
        <v>0</v>
      </c>
      <c r="AB322" s="409">
        <v>0</v>
      </c>
      <c r="AC322" s="409">
        <v>0</v>
      </c>
      <c r="AD322" s="409">
        <v>157.2977358207032</v>
      </c>
      <c r="AE322" s="409">
        <v>550.35912972868539</v>
      </c>
      <c r="AF322" s="409">
        <v>612.55701771580596</v>
      </c>
      <c r="AG322" s="409">
        <v>0</v>
      </c>
      <c r="AH322" s="409">
        <v>0</v>
      </c>
      <c r="AI322" s="409">
        <v>0</v>
      </c>
      <c r="AJ322" s="409">
        <v>0</v>
      </c>
      <c r="AK322" s="409">
        <v>0</v>
      </c>
      <c r="AL322" s="409">
        <v>25.568399789399411</v>
      </c>
      <c r="AM322" s="409"/>
      <c r="AN322" s="409">
        <v>4.3210219902516522</v>
      </c>
      <c r="AO322" s="409">
        <v>0</v>
      </c>
      <c r="AP322" s="409">
        <v>0</v>
      </c>
      <c r="AQ322" s="409">
        <v>0</v>
      </c>
      <c r="AR322" s="409">
        <v>0</v>
      </c>
      <c r="AS322" s="409">
        <v>0</v>
      </c>
      <c r="AT322" s="409">
        <v>0</v>
      </c>
      <c r="AU322" s="409">
        <v>0</v>
      </c>
      <c r="AV322" s="409">
        <v>0</v>
      </c>
      <c r="AW322" s="409">
        <v>0</v>
      </c>
      <c r="AX322" s="409">
        <v>0</v>
      </c>
      <c r="AY322" s="409">
        <v>0</v>
      </c>
      <c r="AZ322" s="409">
        <v>0</v>
      </c>
      <c r="BA322" s="409"/>
      <c r="BB322" s="409">
        <v>0</v>
      </c>
      <c r="BC322" s="409">
        <v>0</v>
      </c>
      <c r="BD322" s="409">
        <v>0</v>
      </c>
      <c r="BE322" s="409">
        <v>0</v>
      </c>
      <c r="BF322" s="409">
        <v>0</v>
      </c>
      <c r="BG322" s="409">
        <v>83.103048078253906</v>
      </c>
      <c r="BH322" s="409">
        <v>0</v>
      </c>
      <c r="BI322" s="409">
        <v>0</v>
      </c>
      <c r="BJ322" s="409">
        <v>0</v>
      </c>
      <c r="BK322" s="409">
        <v>0</v>
      </c>
      <c r="BL322" s="409">
        <v>0</v>
      </c>
      <c r="BM322" s="409"/>
      <c r="BN322" s="409"/>
      <c r="BO322" s="409"/>
      <c r="BP322" s="409"/>
      <c r="BQ322" s="409"/>
      <c r="BR322" s="409"/>
      <c r="BS322" s="409"/>
      <c r="BT322" s="409"/>
      <c r="BU322" s="409"/>
      <c r="BV322" s="409">
        <v>695.66006579405985</v>
      </c>
      <c r="BW322" s="409"/>
      <c r="BX322" s="409"/>
      <c r="BY322" s="409"/>
      <c r="BZ322" s="409"/>
      <c r="CA322" s="409"/>
      <c r="CB322" s="409"/>
      <c r="CC322" s="409"/>
      <c r="CD322" s="409"/>
      <c r="CE322" s="409"/>
      <c r="CF322" s="409"/>
      <c r="CG322" s="409"/>
      <c r="CH322" s="409"/>
      <c r="CI322" s="409">
        <v>1401.0853999999999</v>
      </c>
      <c r="CJ322" s="409">
        <v>-94.781799999999976</v>
      </c>
      <c r="CK322" s="409"/>
      <c r="CL322" s="409"/>
      <c r="CM322" s="409"/>
      <c r="CN322" s="409"/>
      <c r="CO322" s="409">
        <v>-116.05879999999995</v>
      </c>
      <c r="CP322" s="409">
        <v>21.306999999999967</v>
      </c>
      <c r="CQ322" s="409">
        <v>31</v>
      </c>
      <c r="CR322" s="409">
        <v>31.399837911303734</v>
      </c>
      <c r="CS322" s="409">
        <v>0</v>
      </c>
      <c r="CT322" s="409">
        <v>0</v>
      </c>
      <c r="CU322" s="409">
        <v>0</v>
      </c>
      <c r="CV322" s="409">
        <v>0</v>
      </c>
      <c r="CW322" s="409">
        <v>0</v>
      </c>
      <c r="CX322" s="409">
        <v>0</v>
      </c>
      <c r="CY322" s="409">
        <v>0</v>
      </c>
      <c r="CZ322" s="409">
        <v>5.8971893633878949</v>
      </c>
      <c r="DA322" s="409">
        <v>0</v>
      </c>
      <c r="DB322" s="409">
        <v>0</v>
      </c>
      <c r="DC322" s="409">
        <v>28.061179862221252</v>
      </c>
      <c r="DD322" s="409">
        <v>0</v>
      </c>
      <c r="DE322" s="409">
        <v>0</v>
      </c>
      <c r="DF322" s="409">
        <v>0</v>
      </c>
      <c r="DG322" s="409">
        <v>3.8069428833230177</v>
      </c>
      <c r="DH322" s="409">
        <v>0</v>
      </c>
      <c r="DI322" s="409">
        <v>-0.456729316267797</v>
      </c>
      <c r="DJ322" s="409"/>
      <c r="DK322" s="409">
        <v>0</v>
      </c>
      <c r="DL322" s="409">
        <v>0</v>
      </c>
      <c r="DM322" s="409">
        <v>0</v>
      </c>
      <c r="DN322" s="409">
        <v>0</v>
      </c>
      <c r="DO322" s="409">
        <v>-0.14341193268702668</v>
      </c>
      <c r="DP322" s="409">
        <v>-0.2545226525791664</v>
      </c>
      <c r="DQ322" s="409">
        <v>0</v>
      </c>
      <c r="DR322" s="409">
        <v>-5.5108102960943173</v>
      </c>
      <c r="DS322" s="409"/>
      <c r="DT322" s="409"/>
      <c r="DU322" s="409"/>
      <c r="DV322" s="409">
        <v>550.35912972868539</v>
      </c>
      <c r="DW322" s="409">
        <v>0</v>
      </c>
      <c r="DX322" s="409">
        <v>0</v>
      </c>
      <c r="DY322" s="409">
        <v>-116.05880000000002</v>
      </c>
      <c r="DZ322" s="409">
        <v>21.306999999999903</v>
      </c>
      <c r="EA322" s="409">
        <v>0</v>
      </c>
      <c r="EB322" s="409">
        <v>0</v>
      </c>
      <c r="EC322" s="409">
        <v>-126.15525392075892</v>
      </c>
      <c r="ED322" s="409">
        <v>0</v>
      </c>
      <c r="EE322" s="409">
        <v>0</v>
      </c>
      <c r="EF322" s="409">
        <v>0</v>
      </c>
      <c r="EG322" s="409">
        <v>0</v>
      </c>
      <c r="EH322" s="409">
        <v>0</v>
      </c>
      <c r="EI322" s="409">
        <v>0</v>
      </c>
      <c r="EJ322" s="409">
        <v>0</v>
      </c>
      <c r="EK322" s="409">
        <v>0</v>
      </c>
      <c r="EL322" s="409">
        <v>0</v>
      </c>
      <c r="EM322" s="409">
        <v>0</v>
      </c>
      <c r="EN322" s="409">
        <v>0</v>
      </c>
      <c r="EO322" s="409">
        <v>0</v>
      </c>
      <c r="EP322" s="409">
        <v>0</v>
      </c>
      <c r="EQ322" s="409">
        <v>0</v>
      </c>
      <c r="ER322" s="409">
        <v>0</v>
      </c>
      <c r="ES322" s="409">
        <v>0</v>
      </c>
      <c r="ET322" s="409">
        <v>0</v>
      </c>
      <c r="EU322" s="409">
        <v>0</v>
      </c>
      <c r="EV322" s="409">
        <v>254</v>
      </c>
      <c r="EW322" s="409">
        <v>0</v>
      </c>
      <c r="EX322" s="409">
        <v>0</v>
      </c>
      <c r="EY322" s="409">
        <v>0</v>
      </c>
      <c r="EZ322" s="409"/>
      <c r="FA322" s="409">
        <v>0</v>
      </c>
      <c r="FB322" s="409"/>
      <c r="FC322" s="409"/>
      <c r="FD322" s="409"/>
      <c r="FE322" s="409"/>
      <c r="FF322" s="409">
        <v>0</v>
      </c>
      <c r="FG322" s="409">
        <v>0</v>
      </c>
      <c r="FH322" s="409">
        <v>0</v>
      </c>
      <c r="FI322" s="409">
        <v>0</v>
      </c>
    </row>
    <row r="323" spans="1:165">
      <c r="A323" s="409">
        <v>321</v>
      </c>
      <c r="B323" s="409" t="s">
        <v>1035</v>
      </c>
      <c r="C323" s="409" t="s">
        <v>2252</v>
      </c>
      <c r="D323" s="409" t="s">
        <v>2254</v>
      </c>
      <c r="E323" s="409" t="s">
        <v>973</v>
      </c>
      <c r="F323" s="409" t="s">
        <v>1323</v>
      </c>
      <c r="G323" s="409" t="s">
        <v>1323</v>
      </c>
      <c r="H323" s="409" t="s">
        <v>1323</v>
      </c>
      <c r="I323" s="409" t="s">
        <v>1323</v>
      </c>
      <c r="J323" s="409" t="s">
        <v>2245</v>
      </c>
      <c r="K323" s="835">
        <v>44621</v>
      </c>
      <c r="L323" s="409">
        <v>0</v>
      </c>
      <c r="M323" s="409">
        <v>0</v>
      </c>
      <c r="N323" s="409">
        <v>0.106</v>
      </c>
      <c r="O323" s="409">
        <v>0.106</v>
      </c>
      <c r="P323" s="409">
        <v>0.106</v>
      </c>
      <c r="Q323" s="409">
        <v>0.106</v>
      </c>
      <c r="R323" s="409"/>
      <c r="S323" s="409">
        <v>597.01</v>
      </c>
      <c r="T323" s="409">
        <v>243.39</v>
      </c>
      <c r="U323" s="409"/>
      <c r="V323" s="409">
        <v>89.082399999999993</v>
      </c>
      <c r="W323" s="409">
        <v>89.082399999999993</v>
      </c>
      <c r="X323" s="409">
        <v>80.695679999999996</v>
      </c>
      <c r="Y323" s="409">
        <v>0</v>
      </c>
      <c r="Z323" s="409">
        <v>2.6376486113109454</v>
      </c>
      <c r="AA323" s="409">
        <v>0</v>
      </c>
      <c r="AB323" s="409">
        <v>0</v>
      </c>
      <c r="AC323" s="409">
        <v>0</v>
      </c>
      <c r="AD323" s="409">
        <v>12.422040954638163</v>
      </c>
      <c r="AE323" s="409">
        <v>43.464083624862312</v>
      </c>
      <c r="AF323" s="409">
        <v>25.799047948933346</v>
      </c>
      <c r="AG323" s="409">
        <v>0</v>
      </c>
      <c r="AH323" s="409">
        <v>0</v>
      </c>
      <c r="AI323" s="409">
        <v>0</v>
      </c>
      <c r="AJ323" s="409">
        <v>0</v>
      </c>
      <c r="AK323" s="409">
        <v>0</v>
      </c>
      <c r="AL323" s="409">
        <v>1.076863627493778</v>
      </c>
      <c r="AM323" s="409"/>
      <c r="AN323" s="409">
        <v>0.1819883705366632</v>
      </c>
      <c r="AO323" s="409">
        <v>0</v>
      </c>
      <c r="AP323" s="409">
        <v>0</v>
      </c>
      <c r="AQ323" s="409">
        <v>0</v>
      </c>
      <c r="AR323" s="409">
        <v>0</v>
      </c>
      <c r="AS323" s="409">
        <v>0</v>
      </c>
      <c r="AT323" s="409">
        <v>0</v>
      </c>
      <c r="AU323" s="409">
        <v>0</v>
      </c>
      <c r="AV323" s="409">
        <v>0</v>
      </c>
      <c r="AW323" s="409">
        <v>0</v>
      </c>
      <c r="AX323" s="409">
        <v>0</v>
      </c>
      <c r="AY323" s="409">
        <v>0</v>
      </c>
      <c r="AZ323" s="409">
        <v>0</v>
      </c>
      <c r="BA323" s="409"/>
      <c r="BB323" s="409">
        <v>0</v>
      </c>
      <c r="BC323" s="409">
        <v>0</v>
      </c>
      <c r="BD323" s="409">
        <v>0</v>
      </c>
      <c r="BE323" s="409">
        <v>0</v>
      </c>
      <c r="BF323" s="409">
        <v>0</v>
      </c>
      <c r="BG323" s="409">
        <v>3.500048909843815</v>
      </c>
      <c r="BH323" s="409">
        <v>0</v>
      </c>
      <c r="BI323" s="409">
        <v>2.44</v>
      </c>
      <c r="BJ323" s="409">
        <v>11.25</v>
      </c>
      <c r="BK323" s="409">
        <v>0</v>
      </c>
      <c r="BL323" s="409">
        <v>8</v>
      </c>
      <c r="BM323" s="409"/>
      <c r="BN323" s="409"/>
      <c r="BO323" s="409"/>
      <c r="BP323" s="409"/>
      <c r="BQ323" s="409"/>
      <c r="BR323" s="409">
        <v>9.6841599999999985</v>
      </c>
      <c r="BS323" s="409"/>
      <c r="BT323" s="409"/>
      <c r="BU323" s="409"/>
      <c r="BV323" s="409">
        <v>29.299096858777162</v>
      </c>
      <c r="BW323" s="409"/>
      <c r="BX323" s="409"/>
      <c r="BY323" s="409"/>
      <c r="BZ323" s="409"/>
      <c r="CA323" s="409"/>
      <c r="CB323" s="409"/>
      <c r="CC323" s="409"/>
      <c r="CD323" s="409"/>
      <c r="CE323" s="409"/>
      <c r="CF323" s="409"/>
      <c r="CG323" s="409"/>
      <c r="CH323" s="409"/>
      <c r="CI323" s="409">
        <v>73.691200000000009</v>
      </c>
      <c r="CJ323" s="409">
        <v>-4.7310999999999837</v>
      </c>
      <c r="CK323" s="409"/>
      <c r="CL323" s="409"/>
      <c r="CM323" s="409"/>
      <c r="CN323" s="409"/>
      <c r="CO323" s="409">
        <v>-9.2834799999999973</v>
      </c>
      <c r="CP323" s="409">
        <v>0.89676000000000078</v>
      </c>
      <c r="CQ323" s="409">
        <v>31</v>
      </c>
      <c r="CR323" s="409">
        <v>1.576625239150367</v>
      </c>
      <c r="CS323" s="409">
        <v>0</v>
      </c>
      <c r="CT323" s="409">
        <v>0</v>
      </c>
      <c r="CU323" s="409">
        <v>0</v>
      </c>
      <c r="CV323" s="409">
        <v>0</v>
      </c>
      <c r="CW323" s="409">
        <v>0</v>
      </c>
      <c r="CX323" s="409">
        <v>0</v>
      </c>
      <c r="CY323" s="409">
        <v>0</v>
      </c>
      <c r="CZ323" s="409">
        <v>0.46570999516971412</v>
      </c>
      <c r="DA323" s="409">
        <v>0</v>
      </c>
      <c r="DB323" s="409">
        <v>0</v>
      </c>
      <c r="DC323" s="409">
        <v>1.1818519808469325</v>
      </c>
      <c r="DD323" s="409">
        <v>0</v>
      </c>
      <c r="DE323" s="409">
        <v>0</v>
      </c>
      <c r="DF323" s="409">
        <v>0</v>
      </c>
      <c r="DG323" s="409">
        <v>0.16033691418953744</v>
      </c>
      <c r="DH323" s="409">
        <v>0</v>
      </c>
      <c r="DI323" s="409">
        <v>-1.923605670867401E-2</v>
      </c>
      <c r="DJ323" s="409"/>
      <c r="DK323" s="409">
        <v>0</v>
      </c>
      <c r="DL323" s="409">
        <v>0</v>
      </c>
      <c r="DM323" s="409">
        <v>0</v>
      </c>
      <c r="DN323" s="409">
        <v>0</v>
      </c>
      <c r="DO323" s="409">
        <v>-6.0400766309751663E-3</v>
      </c>
      <c r="DP323" s="409">
        <v>-1.0719723924582786E-2</v>
      </c>
      <c r="DQ323" s="409">
        <v>0</v>
      </c>
      <c r="DR323" s="409">
        <v>-0.19527779379157945</v>
      </c>
      <c r="DS323" s="409"/>
      <c r="DT323" s="409"/>
      <c r="DU323" s="409"/>
      <c r="DV323" s="409">
        <v>43.464083624862312</v>
      </c>
      <c r="DW323" s="409">
        <v>0</v>
      </c>
      <c r="DX323" s="409">
        <v>0</v>
      </c>
      <c r="DY323" s="409">
        <v>-9.2834799999999973</v>
      </c>
      <c r="DZ323" s="409">
        <v>0.89676000000000045</v>
      </c>
      <c r="EA323" s="409">
        <v>0</v>
      </c>
      <c r="EB323" s="409">
        <v>0</v>
      </c>
      <c r="EC323" s="409">
        <v>-9.9629900004215415</v>
      </c>
      <c r="ED323" s="409">
        <v>0</v>
      </c>
      <c r="EE323" s="409">
        <v>0</v>
      </c>
      <c r="EF323" s="409">
        <v>0</v>
      </c>
      <c r="EG323" s="409">
        <v>0</v>
      </c>
      <c r="EH323" s="409">
        <v>0</v>
      </c>
      <c r="EI323" s="409">
        <v>0</v>
      </c>
      <c r="EJ323" s="409">
        <v>0</v>
      </c>
      <c r="EK323" s="409">
        <v>0</v>
      </c>
      <c r="EL323" s="409">
        <v>0</v>
      </c>
      <c r="EM323" s="409">
        <v>0</v>
      </c>
      <c r="EN323" s="409">
        <v>0</v>
      </c>
      <c r="EO323" s="409">
        <v>0</v>
      </c>
      <c r="EP323" s="409">
        <v>0</v>
      </c>
      <c r="EQ323" s="409">
        <v>0</v>
      </c>
      <c r="ER323" s="409">
        <v>0</v>
      </c>
      <c r="ES323" s="409">
        <v>0</v>
      </c>
      <c r="ET323" s="409">
        <v>0</v>
      </c>
      <c r="EU323" s="409">
        <v>0</v>
      </c>
      <c r="EV323" s="409">
        <v>254</v>
      </c>
      <c r="EW323" s="409">
        <v>0</v>
      </c>
      <c r="EX323" s="409">
        <v>0</v>
      </c>
      <c r="EY323" s="409">
        <v>0</v>
      </c>
      <c r="EZ323" s="409"/>
      <c r="FA323" s="409">
        <v>0</v>
      </c>
      <c r="FB323" s="409"/>
      <c r="FC323" s="409"/>
      <c r="FD323" s="409"/>
      <c r="FE323" s="409"/>
      <c r="FF323" s="409">
        <v>0</v>
      </c>
      <c r="FG323" s="409">
        <v>0</v>
      </c>
      <c r="FH323" s="409">
        <v>0</v>
      </c>
      <c r="FI323" s="409">
        <v>0</v>
      </c>
    </row>
    <row r="324" spans="1:165">
      <c r="A324" s="409">
        <v>322</v>
      </c>
      <c r="B324" s="409" t="s">
        <v>1035</v>
      </c>
      <c r="C324" s="409" t="s">
        <v>2252</v>
      </c>
      <c r="D324" s="409" t="s">
        <v>2254</v>
      </c>
      <c r="E324" s="409" t="s">
        <v>973</v>
      </c>
      <c r="F324" s="409" t="s">
        <v>1323</v>
      </c>
      <c r="G324" s="409" t="s">
        <v>1323</v>
      </c>
      <c r="H324" s="409" t="s">
        <v>1323</v>
      </c>
      <c r="I324" s="409" t="s">
        <v>2253</v>
      </c>
      <c r="J324" s="409" t="s">
        <v>2245</v>
      </c>
      <c r="K324" s="835">
        <v>44621</v>
      </c>
      <c r="L324" s="409">
        <v>0</v>
      </c>
      <c r="M324" s="409">
        <v>0</v>
      </c>
      <c r="N324" s="409">
        <v>8.5000000000000006E-2</v>
      </c>
      <c r="O324" s="409">
        <v>8.5000000000000006E-2</v>
      </c>
      <c r="P324" s="409">
        <v>8.5000000000000006E-2</v>
      </c>
      <c r="Q324" s="409">
        <v>8.5000000000000006E-2</v>
      </c>
      <c r="R324" s="409"/>
      <c r="S324" s="409">
        <v>803.7</v>
      </c>
      <c r="T324" s="409">
        <v>214.18</v>
      </c>
      <c r="U324" s="409"/>
      <c r="V324" s="409">
        <v>86.519800000000004</v>
      </c>
      <c r="W324" s="409">
        <v>86.519800000000004</v>
      </c>
      <c r="X324" s="409">
        <v>76.614750000000015</v>
      </c>
      <c r="Y324" s="409">
        <v>0</v>
      </c>
      <c r="Z324" s="409">
        <v>1.8612841143967818</v>
      </c>
      <c r="AA324" s="409">
        <v>0</v>
      </c>
      <c r="AB324" s="409">
        <v>0</v>
      </c>
      <c r="AC324" s="409">
        <v>0</v>
      </c>
      <c r="AD324" s="409">
        <v>14.02446077534182</v>
      </c>
      <c r="AE324" s="409">
        <v>49.070439766019483</v>
      </c>
      <c r="AF324" s="409">
        <v>18.205365911134095</v>
      </c>
      <c r="AG324" s="409">
        <v>0</v>
      </c>
      <c r="AH324" s="409">
        <v>0</v>
      </c>
      <c r="AI324" s="409">
        <v>0</v>
      </c>
      <c r="AJ324" s="409">
        <v>0</v>
      </c>
      <c r="AK324" s="409">
        <v>0</v>
      </c>
      <c r="AL324" s="409">
        <v>0.75989999374089168</v>
      </c>
      <c r="AM324" s="409"/>
      <c r="AN324" s="409">
        <v>0.12842198222775891</v>
      </c>
      <c r="AO324" s="409">
        <v>0</v>
      </c>
      <c r="AP324" s="409">
        <v>0</v>
      </c>
      <c r="AQ324" s="409">
        <v>0</v>
      </c>
      <c r="AR324" s="409">
        <v>0</v>
      </c>
      <c r="AS324" s="409">
        <v>0</v>
      </c>
      <c r="AT324" s="409">
        <v>0</v>
      </c>
      <c r="AU324" s="409">
        <v>0</v>
      </c>
      <c r="AV324" s="409">
        <v>0</v>
      </c>
      <c r="AW324" s="409">
        <v>0</v>
      </c>
      <c r="AX324" s="409">
        <v>0</v>
      </c>
      <c r="AY324" s="409">
        <v>0</v>
      </c>
      <c r="AZ324" s="409">
        <v>0</v>
      </c>
      <c r="BA324" s="409"/>
      <c r="BB324" s="409">
        <v>0</v>
      </c>
      <c r="BC324" s="409">
        <v>0</v>
      </c>
      <c r="BD324" s="409">
        <v>0</v>
      </c>
      <c r="BE324" s="409">
        <v>0</v>
      </c>
      <c r="BF324" s="409">
        <v>0</v>
      </c>
      <c r="BG324" s="409">
        <v>2.4698458344935608</v>
      </c>
      <c r="BH324" s="409">
        <v>0</v>
      </c>
      <c r="BI324" s="409">
        <v>0</v>
      </c>
      <c r="BJ324" s="409">
        <v>0</v>
      </c>
      <c r="BK324" s="409">
        <v>0</v>
      </c>
      <c r="BL324" s="409">
        <v>0</v>
      </c>
      <c r="BM324" s="409"/>
      <c r="BN324" s="409"/>
      <c r="BO324" s="409"/>
      <c r="BP324" s="409"/>
      <c r="BQ324" s="409"/>
      <c r="BR324" s="409"/>
      <c r="BS324" s="409"/>
      <c r="BT324" s="409"/>
      <c r="BU324" s="409"/>
      <c r="BV324" s="409">
        <v>20.675211745627657</v>
      </c>
      <c r="BW324" s="409"/>
      <c r="BX324" s="409"/>
      <c r="BY324" s="409"/>
      <c r="BZ324" s="409"/>
      <c r="CA324" s="409"/>
      <c r="CB324" s="409"/>
      <c r="CC324" s="409"/>
      <c r="CD324" s="409"/>
      <c r="CE324" s="409"/>
      <c r="CF324" s="409"/>
      <c r="CG324" s="409"/>
      <c r="CH324" s="409"/>
      <c r="CI324" s="409">
        <v>81.121499999999997</v>
      </c>
      <c r="CJ324" s="409">
        <v>-5.4283000000000214</v>
      </c>
      <c r="CK324" s="409"/>
      <c r="CL324" s="409"/>
      <c r="CM324" s="409"/>
      <c r="CN324" s="409"/>
      <c r="CO324" s="409">
        <v>-10.538300000000003</v>
      </c>
      <c r="CP324" s="409">
        <v>0.63324999999999909</v>
      </c>
      <c r="CQ324" s="409">
        <v>31</v>
      </c>
      <c r="CR324" s="409">
        <v>1.343114090123585</v>
      </c>
      <c r="CS324" s="409">
        <v>0</v>
      </c>
      <c r="CT324" s="409">
        <v>0</v>
      </c>
      <c r="CU324" s="409">
        <v>0</v>
      </c>
      <c r="CV324" s="409">
        <v>0</v>
      </c>
      <c r="CW324" s="409">
        <v>0</v>
      </c>
      <c r="CX324" s="409">
        <v>0</v>
      </c>
      <c r="CY324" s="409">
        <v>0</v>
      </c>
      <c r="CZ324" s="409">
        <v>0.52578570492498145</v>
      </c>
      <c r="DA324" s="409">
        <v>0</v>
      </c>
      <c r="DB324" s="409">
        <v>0</v>
      </c>
      <c r="DC324" s="409">
        <v>0.83398611478629903</v>
      </c>
      <c r="DD324" s="409">
        <v>0</v>
      </c>
      <c r="DE324" s="409">
        <v>0</v>
      </c>
      <c r="DF324" s="409">
        <v>0</v>
      </c>
      <c r="DG324" s="409">
        <v>0.11314340737148809</v>
      </c>
      <c r="DH324" s="409">
        <v>0</v>
      </c>
      <c r="DI324" s="409">
        <v>-1.3574123035931196E-2</v>
      </c>
      <c r="DJ324" s="409"/>
      <c r="DK324" s="409">
        <v>0</v>
      </c>
      <c r="DL324" s="409">
        <v>0</v>
      </c>
      <c r="DM324" s="409">
        <v>0</v>
      </c>
      <c r="DN324" s="409">
        <v>0</v>
      </c>
      <c r="DO324" s="409">
        <v>-4.2622427546843422E-3</v>
      </c>
      <c r="DP324" s="409">
        <v>-7.5644844298003999E-3</v>
      </c>
      <c r="DQ324" s="409">
        <v>0</v>
      </c>
      <c r="DR324" s="409">
        <v>-0.10440028673876735</v>
      </c>
      <c r="DS324" s="409"/>
      <c r="DT324" s="409"/>
      <c r="DU324" s="409"/>
      <c r="DV324" s="409">
        <v>49.070439766019483</v>
      </c>
      <c r="DW324" s="409">
        <v>0</v>
      </c>
      <c r="DX324" s="409">
        <v>0</v>
      </c>
      <c r="DY324" s="409">
        <v>-10.5383</v>
      </c>
      <c r="DZ324" s="409">
        <v>0.63325000000000031</v>
      </c>
      <c r="EA324" s="409">
        <v>0</v>
      </c>
      <c r="EB324" s="409">
        <v>0</v>
      </c>
      <c r="EC324" s="409">
        <v>-11.248098658302027</v>
      </c>
      <c r="ED324" s="409">
        <v>0</v>
      </c>
      <c r="EE324" s="409">
        <v>0</v>
      </c>
      <c r="EF324" s="409">
        <v>0</v>
      </c>
      <c r="EG324" s="409">
        <v>0</v>
      </c>
      <c r="EH324" s="409">
        <v>0</v>
      </c>
      <c r="EI324" s="409">
        <v>0</v>
      </c>
      <c r="EJ324" s="409">
        <v>0</v>
      </c>
      <c r="EK324" s="409">
        <v>0</v>
      </c>
      <c r="EL324" s="409">
        <v>0</v>
      </c>
      <c r="EM324" s="409">
        <v>0</v>
      </c>
      <c r="EN324" s="409">
        <v>0</v>
      </c>
      <c r="EO324" s="409">
        <v>0</v>
      </c>
      <c r="EP324" s="409">
        <v>0</v>
      </c>
      <c r="EQ324" s="409">
        <v>0</v>
      </c>
      <c r="ER324" s="409">
        <v>0</v>
      </c>
      <c r="ES324" s="409">
        <v>0</v>
      </c>
      <c r="ET324" s="409">
        <v>0</v>
      </c>
      <c r="EU324" s="409">
        <v>0</v>
      </c>
      <c r="EV324" s="409">
        <v>254</v>
      </c>
      <c r="EW324" s="409">
        <v>0</v>
      </c>
      <c r="EX324" s="409">
        <v>0</v>
      </c>
      <c r="EY324" s="409">
        <v>0</v>
      </c>
      <c r="EZ324" s="409"/>
      <c r="FA324" s="409">
        <v>0</v>
      </c>
      <c r="FB324" s="409"/>
      <c r="FC324" s="409"/>
      <c r="FD324" s="409"/>
      <c r="FE324" s="409"/>
      <c r="FF324" s="409">
        <v>0</v>
      </c>
      <c r="FG324" s="409">
        <v>0</v>
      </c>
      <c r="FH324" s="409">
        <v>0</v>
      </c>
      <c r="FI324" s="409">
        <v>0</v>
      </c>
    </row>
    <row r="325" spans="1:165">
      <c r="A325" s="409">
        <v>323</v>
      </c>
      <c r="B325" s="409" t="s">
        <v>1035</v>
      </c>
      <c r="C325" s="409" t="s">
        <v>2244</v>
      </c>
      <c r="D325" s="409" t="s">
        <v>1994</v>
      </c>
      <c r="E325" s="409" t="s">
        <v>2255</v>
      </c>
      <c r="F325" s="409" t="s">
        <v>1323</v>
      </c>
      <c r="G325" s="409" t="s">
        <v>1323</v>
      </c>
      <c r="H325" s="409" t="s">
        <v>1323</v>
      </c>
      <c r="I325" s="409" t="s">
        <v>1323</v>
      </c>
      <c r="J325" s="409" t="s">
        <v>2245</v>
      </c>
      <c r="K325" s="835">
        <v>44621</v>
      </c>
      <c r="L325" s="409">
        <v>0</v>
      </c>
      <c r="M325" s="409">
        <v>0</v>
      </c>
      <c r="N325" s="409">
        <v>20.091000000000001</v>
      </c>
      <c r="O325" s="409">
        <v>20.091000000000001</v>
      </c>
      <c r="P325" s="409">
        <v>20.091000000000001</v>
      </c>
      <c r="Q325" s="409">
        <v>20.091000000000001</v>
      </c>
      <c r="R325" s="409"/>
      <c r="S325" s="409">
        <v>597.01</v>
      </c>
      <c r="T325" s="409">
        <v>243.39</v>
      </c>
      <c r="U325" s="409"/>
      <c r="V325" s="409">
        <v>16884.4764</v>
      </c>
      <c r="W325" s="409">
        <v>16884.4764</v>
      </c>
      <c r="X325" s="409">
        <v>15294.876480000001</v>
      </c>
      <c r="Y325" s="409">
        <v>0</v>
      </c>
      <c r="Z325" s="409">
        <v>499.933945753285</v>
      </c>
      <c r="AA325" s="409">
        <v>0</v>
      </c>
      <c r="AB325" s="409">
        <v>0</v>
      </c>
      <c r="AC325" s="409">
        <v>0</v>
      </c>
      <c r="AD325" s="409">
        <v>2354.4455171663712</v>
      </c>
      <c r="AE325" s="409">
        <v>8238.0840010104603</v>
      </c>
      <c r="AF325" s="409">
        <v>4889.8931353020744</v>
      </c>
      <c r="AG325" s="409">
        <v>0</v>
      </c>
      <c r="AH325" s="409">
        <v>0</v>
      </c>
      <c r="AI325" s="409">
        <v>0</v>
      </c>
      <c r="AJ325" s="409">
        <v>0</v>
      </c>
      <c r="AK325" s="409">
        <v>0</v>
      </c>
      <c r="AL325" s="409">
        <v>204.10629377337258</v>
      </c>
      <c r="AM325" s="409"/>
      <c r="AN325" s="409">
        <v>34.493663702378306</v>
      </c>
      <c r="AO325" s="409">
        <v>0</v>
      </c>
      <c r="AP325" s="409">
        <v>0</v>
      </c>
      <c r="AQ325" s="409">
        <v>0</v>
      </c>
      <c r="AR325" s="409">
        <v>0</v>
      </c>
      <c r="AS325" s="409">
        <v>0</v>
      </c>
      <c r="AT325" s="409">
        <v>0</v>
      </c>
      <c r="AU325" s="409">
        <v>0</v>
      </c>
      <c r="AV325" s="409">
        <v>0</v>
      </c>
      <c r="AW325" s="409">
        <v>0</v>
      </c>
      <c r="AX325" s="409">
        <v>0</v>
      </c>
      <c r="AY325" s="409">
        <v>0</v>
      </c>
      <c r="AZ325" s="409">
        <v>0</v>
      </c>
      <c r="BA325" s="409"/>
      <c r="BB325" s="409">
        <v>0</v>
      </c>
      <c r="BC325" s="409">
        <v>0</v>
      </c>
      <c r="BD325" s="409">
        <v>0</v>
      </c>
      <c r="BE325" s="409">
        <v>0</v>
      </c>
      <c r="BF325" s="409">
        <v>0</v>
      </c>
      <c r="BG325" s="409">
        <v>663.39134573275555</v>
      </c>
      <c r="BH325" s="409">
        <v>0</v>
      </c>
      <c r="BI325" s="409">
        <v>26.43</v>
      </c>
      <c r="BJ325" s="409">
        <v>121.97</v>
      </c>
      <c r="BK325" s="409">
        <v>1762.01</v>
      </c>
      <c r="BL325" s="409">
        <v>30</v>
      </c>
      <c r="BM325" s="409"/>
      <c r="BN325" s="409"/>
      <c r="BO325" s="409"/>
      <c r="BP325" s="409"/>
      <c r="BQ325" s="409"/>
      <c r="BR325" s="409"/>
      <c r="BS325" s="409"/>
      <c r="BT325" s="409"/>
      <c r="BU325" s="409"/>
      <c r="BV325" s="409">
        <v>5553.2844810348297</v>
      </c>
      <c r="BW325" s="409"/>
      <c r="BX325" s="409"/>
      <c r="BY325" s="409"/>
      <c r="BZ325" s="409"/>
      <c r="CA325" s="409"/>
      <c r="CB325" s="409"/>
      <c r="CC325" s="409"/>
      <c r="CD325" s="409"/>
      <c r="CE325" s="409"/>
      <c r="CF325" s="409"/>
      <c r="CG325" s="409"/>
      <c r="CH325" s="409"/>
      <c r="CI325" s="409">
        <v>15294.1152</v>
      </c>
      <c r="CJ325" s="409">
        <v>-1590.3911999999982</v>
      </c>
      <c r="CK325" s="409"/>
      <c r="CL325" s="409"/>
      <c r="CM325" s="409"/>
      <c r="CN325" s="409"/>
      <c r="CO325" s="409">
        <v>-1759.5697799999998</v>
      </c>
      <c r="CP325" s="409">
        <v>169.96986000000018</v>
      </c>
      <c r="CQ325" s="409">
        <v>31</v>
      </c>
      <c r="CR325" s="409">
        <v>298.82997811103814</v>
      </c>
      <c r="CS325" s="409">
        <v>0</v>
      </c>
      <c r="CT325" s="409">
        <v>0</v>
      </c>
      <c r="CU325" s="409">
        <v>0</v>
      </c>
      <c r="CV325" s="409">
        <v>0</v>
      </c>
      <c r="CW325" s="409">
        <v>0</v>
      </c>
      <c r="CX325" s="409">
        <v>0</v>
      </c>
      <c r="CY325" s="409">
        <v>0</v>
      </c>
      <c r="CZ325" s="409">
        <v>88.269618046742835</v>
      </c>
      <c r="DA325" s="409">
        <v>0</v>
      </c>
      <c r="DB325" s="409">
        <v>0</v>
      </c>
      <c r="DC325" s="409">
        <v>224.00554855845076</v>
      </c>
      <c r="DD325" s="409">
        <v>0</v>
      </c>
      <c r="DE325" s="409">
        <v>0</v>
      </c>
      <c r="DF325" s="409">
        <v>0</v>
      </c>
      <c r="DG325" s="409">
        <v>30.389895688509455</v>
      </c>
      <c r="DH325" s="409">
        <v>0</v>
      </c>
      <c r="DI325" s="409">
        <v>-3.6459586352261226</v>
      </c>
      <c r="DJ325" s="409"/>
      <c r="DK325" s="409">
        <v>0</v>
      </c>
      <c r="DL325" s="409">
        <v>0</v>
      </c>
      <c r="DM325" s="409">
        <v>0</v>
      </c>
      <c r="DN325" s="409">
        <v>0</v>
      </c>
      <c r="DO325" s="409">
        <v>-1.144822448989828</v>
      </c>
      <c r="DP325" s="409">
        <v>-2.0317922015923813</v>
      </c>
      <c r="DQ325" s="409">
        <v>0</v>
      </c>
      <c r="DR325" s="409">
        <v>-37.012510896854934</v>
      </c>
      <c r="DS325" s="409"/>
      <c r="DT325" s="409"/>
      <c r="DU325" s="409"/>
      <c r="DV325" s="409">
        <v>8238.0840010104603</v>
      </c>
      <c r="DW325" s="409">
        <v>0</v>
      </c>
      <c r="DX325" s="409">
        <v>0</v>
      </c>
      <c r="DY325" s="409">
        <v>-1759.5697799999998</v>
      </c>
      <c r="DZ325" s="409">
        <v>169.96986000000015</v>
      </c>
      <c r="EA325" s="409">
        <v>0</v>
      </c>
      <c r="EB325" s="409">
        <v>0</v>
      </c>
      <c r="EC325" s="409">
        <v>-1888.3625669666899</v>
      </c>
      <c r="ED325" s="409">
        <v>0</v>
      </c>
      <c r="EE325" s="409">
        <v>0</v>
      </c>
      <c r="EF325" s="409">
        <v>0</v>
      </c>
      <c r="EG325" s="409">
        <v>0</v>
      </c>
      <c r="EH325" s="409">
        <v>0</v>
      </c>
      <c r="EI325" s="409">
        <v>0</v>
      </c>
      <c r="EJ325" s="409">
        <v>0</v>
      </c>
      <c r="EK325" s="409">
        <v>0</v>
      </c>
      <c r="EL325" s="409">
        <v>0</v>
      </c>
      <c r="EM325" s="409">
        <v>0</v>
      </c>
      <c r="EN325" s="409">
        <v>0</v>
      </c>
      <c r="EO325" s="409">
        <v>0</v>
      </c>
      <c r="EP325" s="409">
        <v>0</v>
      </c>
      <c r="EQ325" s="409">
        <v>0</v>
      </c>
      <c r="ER325" s="409">
        <v>0</v>
      </c>
      <c r="ES325" s="409">
        <v>0</v>
      </c>
      <c r="ET325" s="409">
        <v>0</v>
      </c>
      <c r="EU325" s="409">
        <v>0</v>
      </c>
      <c r="EV325" s="409">
        <v>254</v>
      </c>
      <c r="EW325" s="409">
        <v>0</v>
      </c>
      <c r="EX325" s="409">
        <v>0</v>
      </c>
      <c r="EY325" s="409">
        <v>0</v>
      </c>
      <c r="EZ325" s="409"/>
      <c r="FA325" s="409">
        <v>0</v>
      </c>
      <c r="FB325" s="409"/>
      <c r="FC325" s="409"/>
      <c r="FD325" s="409"/>
      <c r="FE325" s="409"/>
      <c r="FF325" s="409">
        <v>0</v>
      </c>
      <c r="FG325" s="409">
        <v>0</v>
      </c>
      <c r="FH325" s="409">
        <v>0</v>
      </c>
      <c r="FI325" s="409">
        <v>0</v>
      </c>
    </row>
    <row r="326" spans="1:165">
      <c r="A326" s="409">
        <v>324</v>
      </c>
      <c r="B326" s="409" t="s">
        <v>1035</v>
      </c>
      <c r="C326" s="409" t="s">
        <v>2244</v>
      </c>
      <c r="D326" s="409" t="s">
        <v>2256</v>
      </c>
      <c r="E326" s="409" t="s">
        <v>2257</v>
      </c>
      <c r="F326" s="409" t="s">
        <v>2258</v>
      </c>
      <c r="G326" s="409" t="s">
        <v>1323</v>
      </c>
      <c r="H326" s="409" t="s">
        <v>1323</v>
      </c>
      <c r="I326" s="409" t="s">
        <v>1323</v>
      </c>
      <c r="J326" s="409" t="s">
        <v>2245</v>
      </c>
      <c r="K326" s="835">
        <v>44621</v>
      </c>
      <c r="L326" s="409">
        <v>0</v>
      </c>
      <c r="M326" s="409">
        <v>0</v>
      </c>
      <c r="N326" s="409">
        <v>127.53400000000001</v>
      </c>
      <c r="O326" s="409">
        <v>127.53400000000001</v>
      </c>
      <c r="P326" s="409">
        <v>127.53400000000001</v>
      </c>
      <c r="Q326" s="409">
        <v>127.53400000000001</v>
      </c>
      <c r="R326" s="409"/>
      <c r="S326" s="409">
        <v>328.35</v>
      </c>
      <c r="T326" s="409">
        <v>133.86000000000001</v>
      </c>
      <c r="U326" s="409"/>
      <c r="V326" s="409">
        <v>58947.490140000009</v>
      </c>
      <c r="W326" s="409">
        <v>58947.490140000009</v>
      </c>
      <c r="X326" s="409">
        <v>53398.485800000002</v>
      </c>
      <c r="Y326" s="409">
        <v>0</v>
      </c>
      <c r="Z326" s="409">
        <v>1745.4191782755836</v>
      </c>
      <c r="AA326" s="409">
        <v>0</v>
      </c>
      <c r="AB326" s="409">
        <v>0</v>
      </c>
      <c r="AC326" s="409">
        <v>0</v>
      </c>
      <c r="AD326" s="409">
        <v>8220.0746614137079</v>
      </c>
      <c r="AE326" s="409">
        <v>28761.619269408111</v>
      </c>
      <c r="AF326" s="409">
        <v>17072.081883166014</v>
      </c>
      <c r="AG326" s="409">
        <v>0</v>
      </c>
      <c r="AH326" s="409">
        <v>0</v>
      </c>
      <c r="AI326" s="409">
        <v>0</v>
      </c>
      <c r="AJ326" s="409">
        <v>0</v>
      </c>
      <c r="AK326" s="409">
        <v>0</v>
      </c>
      <c r="AL326" s="409">
        <v>712.59621913052183</v>
      </c>
      <c r="AM326" s="409"/>
      <c r="AN326" s="409">
        <v>120.42771383408085</v>
      </c>
      <c r="AO326" s="409">
        <v>0</v>
      </c>
      <c r="AP326" s="409">
        <v>0</v>
      </c>
      <c r="AQ326" s="409">
        <v>0</v>
      </c>
      <c r="AR326" s="409">
        <v>0</v>
      </c>
      <c r="AS326" s="409">
        <v>0</v>
      </c>
      <c r="AT326" s="409">
        <v>0</v>
      </c>
      <c r="AU326" s="409">
        <v>0</v>
      </c>
      <c r="AV326" s="409">
        <v>0</v>
      </c>
      <c r="AW326" s="409">
        <v>0</v>
      </c>
      <c r="AX326" s="409">
        <v>0</v>
      </c>
      <c r="AY326" s="409">
        <v>0</v>
      </c>
      <c r="AZ326" s="409">
        <v>0</v>
      </c>
      <c r="BA326" s="409"/>
      <c r="BB326" s="409">
        <v>0</v>
      </c>
      <c r="BC326" s="409">
        <v>0</v>
      </c>
      <c r="BD326" s="409">
        <v>0</v>
      </c>
      <c r="BE326" s="409">
        <v>0</v>
      </c>
      <c r="BF326" s="409">
        <v>0</v>
      </c>
      <c r="BG326" s="409">
        <v>2316.0979312963414</v>
      </c>
      <c r="BH326" s="409">
        <v>0</v>
      </c>
      <c r="BI326" s="409">
        <v>0</v>
      </c>
      <c r="BJ326" s="409">
        <v>0</v>
      </c>
      <c r="BK326" s="409">
        <v>0</v>
      </c>
      <c r="BL326" s="409">
        <v>5</v>
      </c>
      <c r="BM326" s="409"/>
      <c r="BN326" s="409"/>
      <c r="BO326" s="409"/>
      <c r="BP326" s="409"/>
      <c r="BQ326" s="409"/>
      <c r="BR326" s="409"/>
      <c r="BS326" s="409"/>
      <c r="BT326" s="409"/>
      <c r="BU326" s="409"/>
      <c r="BV326" s="409">
        <v>19388.179814462357</v>
      </c>
      <c r="BW326" s="409"/>
      <c r="BX326" s="409"/>
      <c r="BY326" s="409"/>
      <c r="BZ326" s="409"/>
      <c r="CA326" s="409"/>
      <c r="CB326" s="409"/>
      <c r="CC326" s="409"/>
      <c r="CD326" s="409"/>
      <c r="CE326" s="409"/>
      <c r="CF326" s="409"/>
      <c r="CG326" s="409"/>
      <c r="CH326" s="409"/>
      <c r="CI326" s="409">
        <v>53396.811000000002</v>
      </c>
      <c r="CJ326" s="409">
        <v>-5550.7091400000136</v>
      </c>
      <c r="CK326" s="409"/>
      <c r="CL326" s="409"/>
      <c r="CM326" s="409"/>
      <c r="CN326" s="409"/>
      <c r="CO326" s="409">
        <v>-6143.312780000002</v>
      </c>
      <c r="CP326" s="409">
        <v>594.30843999999956</v>
      </c>
      <c r="CQ326" s="409">
        <v>31</v>
      </c>
      <c r="CR326" s="409">
        <v>1043.3049791262929</v>
      </c>
      <c r="CS326" s="409">
        <v>0</v>
      </c>
      <c r="CT326" s="409">
        <v>0</v>
      </c>
      <c r="CU326" s="409">
        <v>0</v>
      </c>
      <c r="CV326" s="409">
        <v>0</v>
      </c>
      <c r="CW326" s="409">
        <v>0</v>
      </c>
      <c r="CX326" s="409">
        <v>0</v>
      </c>
      <c r="CY326" s="409">
        <v>0</v>
      </c>
      <c r="CZ326" s="409">
        <v>308.17568102060068</v>
      </c>
      <c r="DA326" s="409">
        <v>0</v>
      </c>
      <c r="DB326" s="409">
        <v>0</v>
      </c>
      <c r="DC326" s="409">
        <v>782.07047914086434</v>
      </c>
      <c r="DD326" s="409">
        <v>0</v>
      </c>
      <c r="DE326" s="409">
        <v>0</v>
      </c>
      <c r="DF326" s="409">
        <v>0</v>
      </c>
      <c r="DG326" s="409">
        <v>106.10023026259978</v>
      </c>
      <c r="DH326" s="409">
        <v>0</v>
      </c>
      <c r="DI326" s="409">
        <v>-12.729133876947571</v>
      </c>
      <c r="DJ326" s="409"/>
      <c r="DK326" s="409">
        <v>0</v>
      </c>
      <c r="DL326" s="409">
        <v>0</v>
      </c>
      <c r="DM326" s="409">
        <v>0</v>
      </c>
      <c r="DN326" s="409">
        <v>0</v>
      </c>
      <c r="DO326" s="409">
        <v>-3.9969181432061305</v>
      </c>
      <c r="DP326" s="409">
        <v>-7.0935952740450716</v>
      </c>
      <c r="DQ326" s="409">
        <v>0</v>
      </c>
      <c r="DR326" s="409">
        <v>-129.22176400357063</v>
      </c>
      <c r="DS326" s="409"/>
      <c r="DT326" s="409"/>
      <c r="DU326" s="409"/>
      <c r="DV326" s="409">
        <v>28761.619269408111</v>
      </c>
      <c r="DW326" s="409">
        <v>0</v>
      </c>
      <c r="DX326" s="409">
        <v>0</v>
      </c>
      <c r="DY326" s="409">
        <v>-6143.3127800000075</v>
      </c>
      <c r="DZ326" s="409">
        <v>594.3084400000007</v>
      </c>
      <c r="EA326" s="409">
        <v>0</v>
      </c>
      <c r="EB326" s="409">
        <v>0</v>
      </c>
      <c r="EC326" s="409">
        <v>-6592.8394499299502</v>
      </c>
      <c r="ED326" s="409">
        <v>0</v>
      </c>
      <c r="EE326" s="409">
        <v>0</v>
      </c>
      <c r="EF326" s="409">
        <v>0</v>
      </c>
      <c r="EG326" s="409">
        <v>0</v>
      </c>
      <c r="EH326" s="409">
        <v>0</v>
      </c>
      <c r="EI326" s="409">
        <v>0</v>
      </c>
      <c r="EJ326" s="409">
        <v>0</v>
      </c>
      <c r="EK326" s="409">
        <v>0</v>
      </c>
      <c r="EL326" s="409">
        <v>0</v>
      </c>
      <c r="EM326" s="409">
        <v>0</v>
      </c>
      <c r="EN326" s="409">
        <v>0</v>
      </c>
      <c r="EO326" s="409">
        <v>0</v>
      </c>
      <c r="EP326" s="409">
        <v>0</v>
      </c>
      <c r="EQ326" s="409">
        <v>0</v>
      </c>
      <c r="ER326" s="409">
        <v>0</v>
      </c>
      <c r="ES326" s="409">
        <v>0</v>
      </c>
      <c r="ET326" s="409">
        <v>0</v>
      </c>
      <c r="EU326" s="409">
        <v>0</v>
      </c>
      <c r="EV326" s="409">
        <v>254</v>
      </c>
      <c r="EW326" s="409">
        <v>0</v>
      </c>
      <c r="EX326" s="409">
        <v>0</v>
      </c>
      <c r="EY326" s="409">
        <v>0</v>
      </c>
      <c r="EZ326" s="409"/>
      <c r="FA326" s="409">
        <v>0</v>
      </c>
      <c r="FB326" s="409"/>
      <c r="FC326" s="409"/>
      <c r="FD326" s="409"/>
      <c r="FE326" s="409"/>
      <c r="FF326" s="409">
        <v>0</v>
      </c>
      <c r="FG326" s="409">
        <v>0</v>
      </c>
      <c r="FH326" s="409">
        <v>0</v>
      </c>
      <c r="FI326" s="409">
        <v>0</v>
      </c>
    </row>
    <row r="327" spans="1:165">
      <c r="A327" s="409">
        <v>325</v>
      </c>
      <c r="B327" s="409" t="s">
        <v>1035</v>
      </c>
      <c r="C327" s="409" t="s">
        <v>2244</v>
      </c>
      <c r="D327" s="409" t="s">
        <v>1994</v>
      </c>
      <c r="E327" s="409" t="s">
        <v>1000</v>
      </c>
      <c r="F327" s="409" t="s">
        <v>2259</v>
      </c>
      <c r="G327" s="409" t="s">
        <v>1323</v>
      </c>
      <c r="H327" s="409" t="s">
        <v>1323</v>
      </c>
      <c r="I327" s="409" t="s">
        <v>1323</v>
      </c>
      <c r="J327" s="409" t="s">
        <v>2245</v>
      </c>
      <c r="K327" s="835">
        <v>44621</v>
      </c>
      <c r="L327" s="409">
        <v>0</v>
      </c>
      <c r="M327" s="409">
        <v>0</v>
      </c>
      <c r="N327" s="409">
        <v>61.503999999999998</v>
      </c>
      <c r="O327" s="409">
        <v>57.813760000000002</v>
      </c>
      <c r="P327" s="409">
        <v>61.503999999999998</v>
      </c>
      <c r="Q327" s="409">
        <v>57.813760000000002</v>
      </c>
      <c r="R327" s="409"/>
      <c r="S327" s="409">
        <v>597.01</v>
      </c>
      <c r="T327" s="409">
        <v>243.39</v>
      </c>
      <c r="U327" s="409"/>
      <c r="V327" s="409">
        <v>51687.961599999995</v>
      </c>
      <c r="W327" s="409">
        <v>51687.961599999995</v>
      </c>
      <c r="X327" s="409">
        <v>46821.765119999996</v>
      </c>
      <c r="Y327" s="409">
        <v>0</v>
      </c>
      <c r="Z327" s="409">
        <v>1530.4333980195131</v>
      </c>
      <c r="AA327" s="409">
        <v>0</v>
      </c>
      <c r="AB327" s="409">
        <v>0</v>
      </c>
      <c r="AC327" s="409">
        <v>0</v>
      </c>
      <c r="AD327" s="409">
        <v>7207.5962912647701</v>
      </c>
      <c r="AE327" s="409">
        <v>25219.009427014447</v>
      </c>
      <c r="AF327" s="409">
        <v>14969.289104256572</v>
      </c>
      <c r="AG327" s="409">
        <v>0</v>
      </c>
      <c r="AH327" s="409">
        <v>0</v>
      </c>
      <c r="AI327" s="409">
        <v>0</v>
      </c>
      <c r="AJ327" s="409">
        <v>0</v>
      </c>
      <c r="AK327" s="409">
        <v>0</v>
      </c>
      <c r="AL327" s="409">
        <v>624.8247221262011</v>
      </c>
      <c r="AM327" s="409"/>
      <c r="AN327" s="409">
        <v>105.59445982534842</v>
      </c>
      <c r="AO327" s="409">
        <v>0</v>
      </c>
      <c r="AP327" s="409">
        <v>0</v>
      </c>
      <c r="AQ327" s="409">
        <v>0</v>
      </c>
      <c r="AR327" s="409">
        <v>0</v>
      </c>
      <c r="AS327" s="409">
        <v>0</v>
      </c>
      <c r="AT327" s="409">
        <v>0</v>
      </c>
      <c r="AU327" s="409">
        <v>0</v>
      </c>
      <c r="AV327" s="409">
        <v>0</v>
      </c>
      <c r="AW327" s="409">
        <v>0</v>
      </c>
      <c r="AX327" s="409">
        <v>0</v>
      </c>
      <c r="AY327" s="409">
        <v>0</v>
      </c>
      <c r="AZ327" s="409">
        <v>0</v>
      </c>
      <c r="BA327" s="409"/>
      <c r="BB327" s="409">
        <v>0</v>
      </c>
      <c r="BC327" s="409">
        <v>0</v>
      </c>
      <c r="BD327" s="409">
        <v>0</v>
      </c>
      <c r="BE327" s="409">
        <v>0</v>
      </c>
      <c r="BF327" s="409">
        <v>0</v>
      </c>
      <c r="BG327" s="409">
        <v>2030.8208316135283</v>
      </c>
      <c r="BH327" s="409">
        <v>0</v>
      </c>
      <c r="BI327" s="409">
        <v>0</v>
      </c>
      <c r="BJ327" s="409">
        <v>0</v>
      </c>
      <c r="BK327" s="409">
        <v>0</v>
      </c>
      <c r="BL327" s="409">
        <v>9</v>
      </c>
      <c r="BM327" s="409"/>
      <c r="BN327" s="409"/>
      <c r="BO327" s="409"/>
      <c r="BP327" s="409"/>
      <c r="BQ327" s="409">
        <v>2809.3059071999969</v>
      </c>
      <c r="BR327" s="409"/>
      <c r="BS327" s="409"/>
      <c r="BT327" s="409"/>
      <c r="BU327" s="409"/>
      <c r="BV327" s="409">
        <v>17000.109935870099</v>
      </c>
      <c r="BW327" s="409"/>
      <c r="BX327" s="409"/>
      <c r="BY327" s="409"/>
      <c r="BZ327" s="409"/>
      <c r="CA327" s="409"/>
      <c r="CB327" s="409"/>
      <c r="CC327" s="409"/>
      <c r="CD327" s="409"/>
      <c r="CE327" s="409"/>
      <c r="CF327" s="409"/>
      <c r="CG327" s="409"/>
      <c r="CH327" s="409"/>
      <c r="CI327" s="409">
        <v>44009.596799999999</v>
      </c>
      <c r="CJ327" s="409">
        <v>-4577.1171040000118</v>
      </c>
      <c r="CK327" s="409"/>
      <c r="CL327" s="409"/>
      <c r="CM327" s="409"/>
      <c r="CN327" s="409"/>
      <c r="CO327" s="409">
        <v>-5386.5203199999987</v>
      </c>
      <c r="CP327" s="409">
        <v>520.32384000000047</v>
      </c>
      <c r="CQ327" s="409">
        <v>31</v>
      </c>
      <c r="CR327" s="409">
        <v>914.79961045947493</v>
      </c>
      <c r="CS327" s="409">
        <v>0</v>
      </c>
      <c r="CT327" s="409">
        <v>0</v>
      </c>
      <c r="CU327" s="409">
        <v>0</v>
      </c>
      <c r="CV327" s="409">
        <v>0</v>
      </c>
      <c r="CW327" s="409">
        <v>0</v>
      </c>
      <c r="CX327" s="409">
        <v>0</v>
      </c>
      <c r="CY327" s="409">
        <v>0</v>
      </c>
      <c r="CZ327" s="409">
        <v>270.21724097092556</v>
      </c>
      <c r="DA327" s="409">
        <v>0</v>
      </c>
      <c r="DB327" s="409">
        <v>0</v>
      </c>
      <c r="DC327" s="409">
        <v>685.74173801895813</v>
      </c>
      <c r="DD327" s="409">
        <v>0</v>
      </c>
      <c r="DE327" s="409">
        <v>0</v>
      </c>
      <c r="DF327" s="409">
        <v>0</v>
      </c>
      <c r="DG327" s="409">
        <v>93.031712927484023</v>
      </c>
      <c r="DH327" s="409">
        <v>0</v>
      </c>
      <c r="DI327" s="409">
        <v>-11.161268224625246</v>
      </c>
      <c r="DJ327" s="409"/>
      <c r="DK327" s="409">
        <v>0</v>
      </c>
      <c r="DL327" s="409">
        <v>0</v>
      </c>
      <c r="DM327" s="409">
        <v>0</v>
      </c>
      <c r="DN327" s="409">
        <v>0</v>
      </c>
      <c r="DO327" s="409">
        <v>-3.5046120104858574</v>
      </c>
      <c r="DP327" s="409">
        <v>-6.2198669835616869</v>
      </c>
      <c r="DQ327" s="409">
        <v>0</v>
      </c>
      <c r="DR327" s="409">
        <v>-113.30533423921983</v>
      </c>
      <c r="DS327" s="409"/>
      <c r="DT327" s="409"/>
      <c r="DU327" s="409"/>
      <c r="DV327" s="409">
        <v>25219.009427014447</v>
      </c>
      <c r="DW327" s="409">
        <v>0</v>
      </c>
      <c r="DX327" s="409">
        <v>0</v>
      </c>
      <c r="DY327" s="409">
        <v>-5386.520319999996</v>
      </c>
      <c r="DZ327" s="409">
        <v>520.32383999999911</v>
      </c>
      <c r="EA327" s="409">
        <v>0</v>
      </c>
      <c r="EB327" s="409">
        <v>0</v>
      </c>
      <c r="EC327" s="409">
        <v>-5780.7899715653402</v>
      </c>
      <c r="ED327" s="409">
        <v>0</v>
      </c>
      <c r="EE327" s="409">
        <v>0</v>
      </c>
      <c r="EF327" s="409">
        <v>0</v>
      </c>
      <c r="EG327" s="409">
        <v>0</v>
      </c>
      <c r="EH327" s="409">
        <v>0</v>
      </c>
      <c r="EI327" s="409">
        <v>0</v>
      </c>
      <c r="EJ327" s="409">
        <v>0</v>
      </c>
      <c r="EK327" s="409">
        <v>0</v>
      </c>
      <c r="EL327" s="409">
        <v>0</v>
      </c>
      <c r="EM327" s="409">
        <v>0</v>
      </c>
      <c r="EN327" s="409">
        <v>0</v>
      </c>
      <c r="EO327" s="409">
        <v>0</v>
      </c>
      <c r="EP327" s="409">
        <v>0</v>
      </c>
      <c r="EQ327" s="409">
        <v>0</v>
      </c>
      <c r="ER327" s="409">
        <v>0</v>
      </c>
      <c r="ES327" s="409">
        <v>0</v>
      </c>
      <c r="ET327" s="409">
        <v>0</v>
      </c>
      <c r="EU327" s="409">
        <v>0</v>
      </c>
      <c r="EV327" s="409">
        <v>254</v>
      </c>
      <c r="EW327" s="409">
        <v>0</v>
      </c>
      <c r="EX327" s="409">
        <v>0</v>
      </c>
      <c r="EY327" s="409">
        <v>0</v>
      </c>
      <c r="EZ327" s="409"/>
      <c r="FA327" s="409">
        <v>0</v>
      </c>
      <c r="FB327" s="409"/>
      <c r="FC327" s="409"/>
      <c r="FD327" s="409"/>
      <c r="FE327" s="409"/>
      <c r="FF327" s="409">
        <v>0</v>
      </c>
      <c r="FG327" s="409">
        <v>0</v>
      </c>
      <c r="FH327" s="409">
        <v>0</v>
      </c>
      <c r="FI327" s="409">
        <v>0</v>
      </c>
    </row>
    <row r="328" spans="1:165">
      <c r="A328" s="409">
        <v>326</v>
      </c>
      <c r="B328" s="409" t="s">
        <v>1035</v>
      </c>
      <c r="C328" s="409" t="s">
        <v>2244</v>
      </c>
      <c r="D328" s="409" t="s">
        <v>1994</v>
      </c>
      <c r="E328" s="409" t="s">
        <v>2260</v>
      </c>
      <c r="F328" s="409" t="s">
        <v>1323</v>
      </c>
      <c r="G328" s="409" t="s">
        <v>1323</v>
      </c>
      <c r="H328" s="409" t="s">
        <v>1323</v>
      </c>
      <c r="I328" s="409" t="s">
        <v>1323</v>
      </c>
      <c r="J328" s="409" t="s">
        <v>2245</v>
      </c>
      <c r="K328" s="835">
        <v>44621</v>
      </c>
      <c r="L328" s="409">
        <v>0</v>
      </c>
      <c r="M328" s="409">
        <v>0</v>
      </c>
      <c r="N328" s="409">
        <v>3.9830000000000001</v>
      </c>
      <c r="O328" s="409">
        <v>3.9830000000000001</v>
      </c>
      <c r="P328" s="409">
        <v>3.9830000000000001</v>
      </c>
      <c r="Q328" s="409">
        <v>3.9830000000000001</v>
      </c>
      <c r="R328" s="409"/>
      <c r="S328" s="409">
        <v>597.01</v>
      </c>
      <c r="T328" s="409">
        <v>243.39</v>
      </c>
      <c r="U328" s="409"/>
      <c r="V328" s="409">
        <v>3347.3131999999996</v>
      </c>
      <c r="W328" s="409">
        <v>3347.3131999999996</v>
      </c>
      <c r="X328" s="409">
        <v>3032.1782400000002</v>
      </c>
      <c r="Y328" s="409">
        <v>0</v>
      </c>
      <c r="Z328" s="409">
        <v>99.110890743882038</v>
      </c>
      <c r="AA328" s="409">
        <v>0</v>
      </c>
      <c r="AB328" s="409">
        <v>0</v>
      </c>
      <c r="AC328" s="409">
        <v>0</v>
      </c>
      <c r="AD328" s="409">
        <v>466.7640483238095</v>
      </c>
      <c r="AE328" s="409">
        <v>1633.1834441304395</v>
      </c>
      <c r="AF328" s="409">
        <v>969.4113960434106</v>
      </c>
      <c r="AG328" s="409">
        <v>0</v>
      </c>
      <c r="AH328" s="409">
        <v>0</v>
      </c>
      <c r="AI328" s="409">
        <v>0</v>
      </c>
      <c r="AJ328" s="409">
        <v>0</v>
      </c>
      <c r="AK328" s="409">
        <v>0</v>
      </c>
      <c r="AL328" s="409">
        <v>40.463658757619974</v>
      </c>
      <c r="AM328" s="409"/>
      <c r="AN328" s="409">
        <v>6.8382988664861273</v>
      </c>
      <c r="AO328" s="409">
        <v>0</v>
      </c>
      <c r="AP328" s="409">
        <v>0</v>
      </c>
      <c r="AQ328" s="409">
        <v>0</v>
      </c>
      <c r="AR328" s="409">
        <v>0</v>
      </c>
      <c r="AS328" s="409">
        <v>0</v>
      </c>
      <c r="AT328" s="409">
        <v>0</v>
      </c>
      <c r="AU328" s="409">
        <v>0</v>
      </c>
      <c r="AV328" s="409">
        <v>0</v>
      </c>
      <c r="AW328" s="409">
        <v>0</v>
      </c>
      <c r="AX328" s="409">
        <v>0</v>
      </c>
      <c r="AY328" s="409">
        <v>0</v>
      </c>
      <c r="AZ328" s="409">
        <v>0</v>
      </c>
      <c r="BA328" s="409"/>
      <c r="BB328" s="409">
        <v>0</v>
      </c>
      <c r="BC328" s="409">
        <v>0</v>
      </c>
      <c r="BD328" s="409">
        <v>0</v>
      </c>
      <c r="BE328" s="409">
        <v>0</v>
      </c>
      <c r="BF328" s="409">
        <v>0</v>
      </c>
      <c r="BG328" s="409">
        <v>131.51598875384826</v>
      </c>
      <c r="BH328" s="409">
        <v>0</v>
      </c>
      <c r="BI328" s="409">
        <v>0</v>
      </c>
      <c r="BJ328" s="409">
        <v>0</v>
      </c>
      <c r="BK328" s="409">
        <v>1199.26</v>
      </c>
      <c r="BL328" s="409">
        <v>3</v>
      </c>
      <c r="BM328" s="409"/>
      <c r="BN328" s="409"/>
      <c r="BO328" s="409"/>
      <c r="BP328" s="409"/>
      <c r="BQ328" s="409"/>
      <c r="BR328" s="409"/>
      <c r="BS328" s="409"/>
      <c r="BT328" s="409"/>
      <c r="BU328" s="409"/>
      <c r="BV328" s="409">
        <v>1100.9273847972588</v>
      </c>
      <c r="BW328" s="409"/>
      <c r="BX328" s="409"/>
      <c r="BY328" s="409"/>
      <c r="BZ328" s="409"/>
      <c r="CA328" s="409"/>
      <c r="CB328" s="409"/>
      <c r="CC328" s="409"/>
      <c r="CD328" s="409"/>
      <c r="CE328" s="409"/>
      <c r="CF328" s="409"/>
      <c r="CG328" s="409"/>
      <c r="CH328" s="409"/>
      <c r="CI328" s="409">
        <v>3029.8944000000001</v>
      </c>
      <c r="CJ328" s="409">
        <v>-317.44880000000012</v>
      </c>
      <c r="CK328" s="409"/>
      <c r="CL328" s="409"/>
      <c r="CM328" s="409"/>
      <c r="CN328" s="409"/>
      <c r="CO328" s="409">
        <v>-348.83113999999995</v>
      </c>
      <c r="CP328" s="409">
        <v>33.696180000000034</v>
      </c>
      <c r="CQ328" s="409">
        <v>31</v>
      </c>
      <c r="CR328" s="409">
        <v>59.242437052225796</v>
      </c>
      <c r="CS328" s="409">
        <v>0</v>
      </c>
      <c r="CT328" s="409">
        <v>0</v>
      </c>
      <c r="CU328" s="409">
        <v>0</v>
      </c>
      <c r="CV328" s="409">
        <v>0</v>
      </c>
      <c r="CW328" s="409">
        <v>0</v>
      </c>
      <c r="CX328" s="409">
        <v>0</v>
      </c>
      <c r="CY328" s="409">
        <v>0</v>
      </c>
      <c r="CZ328" s="409">
        <v>17.49927274302803</v>
      </c>
      <c r="DA328" s="409">
        <v>0</v>
      </c>
      <c r="DB328" s="409">
        <v>0</v>
      </c>
      <c r="DC328" s="409">
        <v>44.408645657672878</v>
      </c>
      <c r="DD328" s="409">
        <v>0</v>
      </c>
      <c r="DE328" s="409">
        <v>0</v>
      </c>
      <c r="DF328" s="409">
        <v>0</v>
      </c>
      <c r="DG328" s="409">
        <v>6.02473518129176</v>
      </c>
      <c r="DH328" s="409">
        <v>0</v>
      </c>
      <c r="DI328" s="409">
        <v>-0.72280390444007026</v>
      </c>
      <c r="DJ328" s="409"/>
      <c r="DK328" s="409">
        <v>0</v>
      </c>
      <c r="DL328" s="409">
        <v>0</v>
      </c>
      <c r="DM328" s="409">
        <v>0</v>
      </c>
      <c r="DN328" s="409">
        <v>0</v>
      </c>
      <c r="DO328" s="409">
        <v>-0.22695872850164278</v>
      </c>
      <c r="DP328" s="409">
        <v>-0.40279868293974719</v>
      </c>
      <c r="DQ328" s="409">
        <v>0</v>
      </c>
      <c r="DR328" s="409">
        <v>-7.3376552138854816</v>
      </c>
      <c r="DS328" s="409"/>
      <c r="DT328" s="409"/>
      <c r="DU328" s="409"/>
      <c r="DV328" s="409">
        <v>1633.1834441304395</v>
      </c>
      <c r="DW328" s="409">
        <v>0</v>
      </c>
      <c r="DX328" s="409">
        <v>0</v>
      </c>
      <c r="DY328" s="409">
        <v>-348.83113999999978</v>
      </c>
      <c r="DZ328" s="409">
        <v>33.696180000000027</v>
      </c>
      <c r="EA328" s="409">
        <v>0</v>
      </c>
      <c r="EB328" s="409">
        <v>0</v>
      </c>
      <c r="EC328" s="409">
        <v>-374.36404878942449</v>
      </c>
      <c r="ED328" s="409">
        <v>0</v>
      </c>
      <c r="EE328" s="409">
        <v>0</v>
      </c>
      <c r="EF328" s="409">
        <v>0</v>
      </c>
      <c r="EG328" s="409">
        <v>0</v>
      </c>
      <c r="EH328" s="409">
        <v>0</v>
      </c>
      <c r="EI328" s="409">
        <v>0</v>
      </c>
      <c r="EJ328" s="409">
        <v>0</v>
      </c>
      <c r="EK328" s="409">
        <v>0</v>
      </c>
      <c r="EL328" s="409">
        <v>0</v>
      </c>
      <c r="EM328" s="409">
        <v>0</v>
      </c>
      <c r="EN328" s="409">
        <v>0</v>
      </c>
      <c r="EO328" s="409">
        <v>0</v>
      </c>
      <c r="EP328" s="409">
        <v>0</v>
      </c>
      <c r="EQ328" s="409">
        <v>0</v>
      </c>
      <c r="ER328" s="409">
        <v>0</v>
      </c>
      <c r="ES328" s="409">
        <v>0</v>
      </c>
      <c r="ET328" s="409">
        <v>0</v>
      </c>
      <c r="EU328" s="409">
        <v>0</v>
      </c>
      <c r="EV328" s="409">
        <v>254</v>
      </c>
      <c r="EW328" s="409">
        <v>0</v>
      </c>
      <c r="EX328" s="409">
        <v>0</v>
      </c>
      <c r="EY328" s="409">
        <v>0</v>
      </c>
      <c r="EZ328" s="409"/>
      <c r="FA328" s="409">
        <v>0</v>
      </c>
      <c r="FB328" s="409"/>
      <c r="FC328" s="409"/>
      <c r="FD328" s="409"/>
      <c r="FE328" s="409"/>
      <c r="FF328" s="409">
        <v>0</v>
      </c>
      <c r="FG328" s="409">
        <v>0</v>
      </c>
      <c r="FH328" s="409">
        <v>0</v>
      </c>
      <c r="FI328" s="409">
        <v>0</v>
      </c>
    </row>
    <row r="329" spans="1:165">
      <c r="A329" s="409">
        <v>327</v>
      </c>
      <c r="B329" s="409" t="s">
        <v>1035</v>
      </c>
      <c r="C329" s="409" t="s">
        <v>2244</v>
      </c>
      <c r="D329" s="409" t="s">
        <v>2254</v>
      </c>
      <c r="E329" s="409" t="s">
        <v>973</v>
      </c>
      <c r="F329" s="409" t="s">
        <v>2261</v>
      </c>
      <c r="G329" s="409" t="s">
        <v>2262</v>
      </c>
      <c r="H329" s="409" t="s">
        <v>1323</v>
      </c>
      <c r="I329" s="409" t="s">
        <v>1323</v>
      </c>
      <c r="J329" s="409" t="s">
        <v>2245</v>
      </c>
      <c r="K329" s="835">
        <v>44621</v>
      </c>
      <c r="L329" s="409">
        <v>0</v>
      </c>
      <c r="M329" s="409">
        <v>0</v>
      </c>
      <c r="N329" s="409">
        <v>0</v>
      </c>
      <c r="O329" s="409">
        <v>0</v>
      </c>
      <c r="P329" s="409">
        <v>0</v>
      </c>
      <c r="Q329" s="409">
        <v>0</v>
      </c>
      <c r="R329" s="409"/>
      <c r="S329" s="409"/>
      <c r="T329" s="409"/>
      <c r="U329" s="409"/>
      <c r="V329" s="409"/>
      <c r="W329" s="409"/>
      <c r="X329" s="409"/>
      <c r="Y329" s="409"/>
      <c r="Z329" s="409"/>
      <c r="AA329" s="409">
        <v>0</v>
      </c>
      <c r="AB329" s="409"/>
      <c r="AC329" s="409"/>
      <c r="AD329" s="409"/>
      <c r="AE329" s="409"/>
      <c r="AF329" s="409"/>
      <c r="AG329" s="409"/>
      <c r="AH329" s="409"/>
      <c r="AI329" s="409"/>
      <c r="AJ329" s="409"/>
      <c r="AK329" s="409"/>
      <c r="AL329" s="409"/>
      <c r="AM329" s="409"/>
      <c r="AN329" s="409"/>
      <c r="AO329" s="409"/>
      <c r="AP329" s="409"/>
      <c r="AQ329" s="409"/>
      <c r="AR329" s="409"/>
      <c r="AS329" s="409"/>
      <c r="AT329" s="409"/>
      <c r="AU329" s="409"/>
      <c r="AV329" s="409"/>
      <c r="AW329" s="409"/>
      <c r="AX329" s="409"/>
      <c r="AY329" s="409"/>
      <c r="AZ329" s="409">
        <v>0</v>
      </c>
      <c r="BA329" s="409"/>
      <c r="BB329" s="409"/>
      <c r="BC329" s="409"/>
      <c r="BD329" s="409"/>
      <c r="BE329" s="409"/>
      <c r="BF329" s="409"/>
      <c r="BG329" s="409"/>
      <c r="BH329" s="409"/>
      <c r="BI329" s="409">
        <v>0</v>
      </c>
      <c r="BJ329" s="409">
        <v>0</v>
      </c>
      <c r="BK329" s="409">
        <v>0</v>
      </c>
      <c r="BL329" s="409">
        <v>8</v>
      </c>
      <c r="BM329" s="409"/>
      <c r="BN329" s="409"/>
      <c r="BO329" s="409"/>
      <c r="BP329" s="409"/>
      <c r="BQ329" s="409"/>
      <c r="BR329" s="409"/>
      <c r="BS329" s="409"/>
      <c r="BT329" s="409"/>
      <c r="BU329" s="409"/>
      <c r="BV329" s="409"/>
      <c r="BW329" s="409"/>
      <c r="BX329" s="409"/>
      <c r="BY329" s="409"/>
      <c r="BZ329" s="409"/>
      <c r="CA329" s="409"/>
      <c r="CB329" s="409"/>
      <c r="CC329" s="409"/>
      <c r="CD329" s="409"/>
      <c r="CE329" s="409"/>
      <c r="CF329" s="409"/>
      <c r="CG329" s="409"/>
      <c r="CH329" s="409"/>
      <c r="CI329" s="409"/>
      <c r="CJ329" s="409">
        <v>-0.03</v>
      </c>
      <c r="CK329" s="409"/>
      <c r="CL329" s="409"/>
      <c r="CM329" s="409"/>
      <c r="CN329" s="409"/>
      <c r="CO329" s="409">
        <v>0</v>
      </c>
      <c r="CP329" s="409">
        <v>0</v>
      </c>
      <c r="CQ329" s="409">
        <v>31</v>
      </c>
      <c r="CR329" s="409"/>
      <c r="CS329" s="409"/>
      <c r="CT329" s="409"/>
      <c r="CU329" s="409"/>
      <c r="CV329" s="409"/>
      <c r="CW329" s="409"/>
      <c r="CX329" s="409"/>
      <c r="CY329" s="409"/>
      <c r="CZ329" s="409"/>
      <c r="DA329" s="409"/>
      <c r="DB329" s="409"/>
      <c r="DC329" s="409"/>
      <c r="DD329" s="409"/>
      <c r="DE329" s="409"/>
      <c r="DF329" s="409"/>
      <c r="DG329" s="409"/>
      <c r="DH329" s="409"/>
      <c r="DI329" s="409"/>
      <c r="DJ329" s="409"/>
      <c r="DK329" s="409">
        <v>0</v>
      </c>
      <c r="DL329" s="409"/>
      <c r="DM329" s="409"/>
      <c r="DN329" s="409"/>
      <c r="DO329" s="409"/>
      <c r="DP329" s="409"/>
      <c r="DQ329" s="409"/>
      <c r="DR329" s="409"/>
      <c r="DS329" s="409"/>
      <c r="DT329" s="409"/>
      <c r="DU329" s="409"/>
      <c r="DV329" s="409"/>
      <c r="DW329" s="409"/>
      <c r="DX329" s="409"/>
      <c r="DY329" s="409"/>
      <c r="DZ329" s="409"/>
      <c r="EA329" s="409"/>
      <c r="EB329" s="409"/>
      <c r="EC329" s="409"/>
      <c r="ED329" s="409"/>
      <c r="EE329" s="409"/>
      <c r="EF329" s="409"/>
      <c r="EG329" s="409"/>
      <c r="EH329" s="409"/>
      <c r="EI329" s="409"/>
      <c r="EJ329" s="409"/>
      <c r="EK329" s="409"/>
      <c r="EL329" s="409"/>
      <c r="EM329" s="409"/>
      <c r="EN329" s="409"/>
      <c r="EO329" s="409"/>
      <c r="EP329" s="409"/>
      <c r="EQ329" s="409"/>
      <c r="ER329" s="409"/>
      <c r="ES329" s="409"/>
      <c r="ET329" s="409"/>
      <c r="EU329" s="409"/>
      <c r="EV329" s="409">
        <v>254</v>
      </c>
      <c r="EW329" s="409"/>
      <c r="EX329" s="409"/>
      <c r="EY329" s="409"/>
      <c r="EZ329" s="409"/>
      <c r="FA329" s="409">
        <v>0</v>
      </c>
      <c r="FB329" s="409"/>
      <c r="FC329" s="409"/>
      <c r="FD329" s="409"/>
      <c r="FE329" s="409"/>
      <c r="FF329" s="409">
        <v>0</v>
      </c>
      <c r="FG329" s="409">
        <v>0</v>
      </c>
      <c r="FH329" s="409">
        <v>0</v>
      </c>
      <c r="FI329" s="409">
        <v>0</v>
      </c>
    </row>
    <row r="330" spans="1:165">
      <c r="A330" s="409">
        <v>328</v>
      </c>
      <c r="B330" s="409" t="s">
        <v>1035</v>
      </c>
      <c r="C330" s="409" t="s">
        <v>2244</v>
      </c>
      <c r="D330" s="409" t="s">
        <v>2254</v>
      </c>
      <c r="E330" s="409" t="s">
        <v>973</v>
      </c>
      <c r="F330" s="409" t="s">
        <v>2261</v>
      </c>
      <c r="G330" s="409" t="s">
        <v>2262</v>
      </c>
      <c r="H330" s="409" t="s">
        <v>1323</v>
      </c>
      <c r="I330" s="409" t="s">
        <v>1323</v>
      </c>
      <c r="J330" s="409" t="s">
        <v>2245</v>
      </c>
      <c r="K330" s="835">
        <v>44621</v>
      </c>
      <c r="L330" s="409">
        <v>0</v>
      </c>
      <c r="M330" s="409">
        <v>0</v>
      </c>
      <c r="N330" s="409">
        <v>6.0869999999999997</v>
      </c>
      <c r="O330" s="409">
        <v>6.0869999999999997</v>
      </c>
      <c r="P330" s="409">
        <v>6.0869999999999997</v>
      </c>
      <c r="Q330" s="409">
        <v>6.0869999999999997</v>
      </c>
      <c r="R330" s="409"/>
      <c r="S330" s="409">
        <v>597.01</v>
      </c>
      <c r="T330" s="409">
        <v>243.39</v>
      </c>
      <c r="U330" s="409"/>
      <c r="V330" s="409">
        <v>5115.514799999999</v>
      </c>
      <c r="W330" s="409">
        <v>5115.514799999999</v>
      </c>
      <c r="X330" s="409">
        <v>4633.9113600000001</v>
      </c>
      <c r="Y330" s="409">
        <v>0</v>
      </c>
      <c r="Z330" s="409">
        <v>151.46572733065778</v>
      </c>
      <c r="AA330" s="409">
        <v>0</v>
      </c>
      <c r="AB330" s="409">
        <v>0</v>
      </c>
      <c r="AC330" s="409">
        <v>0</v>
      </c>
      <c r="AD330" s="409">
        <v>713.32984236681602</v>
      </c>
      <c r="AE330" s="409">
        <v>2495.9045002314797</v>
      </c>
      <c r="AF330" s="409">
        <v>1481.4981591052574</v>
      </c>
      <c r="AG330" s="409">
        <v>0</v>
      </c>
      <c r="AH330" s="409">
        <v>0</v>
      </c>
      <c r="AI330" s="409">
        <v>0</v>
      </c>
      <c r="AJ330" s="409">
        <v>0</v>
      </c>
      <c r="AK330" s="409">
        <v>0</v>
      </c>
      <c r="AL330" s="409">
        <v>61.838385854288923</v>
      </c>
      <c r="AM330" s="409"/>
      <c r="AN330" s="409">
        <v>10.450596334496876</v>
      </c>
      <c r="AO330" s="409">
        <v>0</v>
      </c>
      <c r="AP330" s="409">
        <v>0</v>
      </c>
      <c r="AQ330" s="409">
        <v>0</v>
      </c>
      <c r="AR330" s="409">
        <v>0</v>
      </c>
      <c r="AS330" s="409">
        <v>0</v>
      </c>
      <c r="AT330" s="409">
        <v>0</v>
      </c>
      <c r="AU330" s="409">
        <v>0</v>
      </c>
      <c r="AV330" s="409">
        <v>0</v>
      </c>
      <c r="AW330" s="409">
        <v>0</v>
      </c>
      <c r="AX330" s="409">
        <v>0</v>
      </c>
      <c r="AY330" s="409">
        <v>0</v>
      </c>
      <c r="AZ330" s="409">
        <v>0</v>
      </c>
      <c r="BA330" s="409"/>
      <c r="BB330" s="409">
        <v>0</v>
      </c>
      <c r="BC330" s="409">
        <v>0</v>
      </c>
      <c r="BD330" s="409">
        <v>0</v>
      </c>
      <c r="BE330" s="409">
        <v>0</v>
      </c>
      <c r="BF330" s="409">
        <v>0</v>
      </c>
      <c r="BG330" s="409">
        <v>200.98865768131415</v>
      </c>
      <c r="BH330" s="409">
        <v>0</v>
      </c>
      <c r="BI330" s="409">
        <v>0</v>
      </c>
      <c r="BJ330" s="409">
        <v>0</v>
      </c>
      <c r="BK330" s="409">
        <v>0</v>
      </c>
      <c r="BL330" s="409">
        <v>0</v>
      </c>
      <c r="BM330" s="409"/>
      <c r="BN330" s="409"/>
      <c r="BO330" s="409"/>
      <c r="BP330" s="409"/>
      <c r="BQ330" s="409"/>
      <c r="BR330" s="409">
        <v>556.10831999999982</v>
      </c>
      <c r="BS330" s="409"/>
      <c r="BT330" s="409"/>
      <c r="BU330" s="409"/>
      <c r="BV330" s="409">
        <v>1682.4868167865716</v>
      </c>
      <c r="BW330" s="409"/>
      <c r="BX330" s="409"/>
      <c r="BY330" s="409"/>
      <c r="BZ330" s="409"/>
      <c r="CA330" s="409"/>
      <c r="CB330" s="409"/>
      <c r="CC330" s="409"/>
      <c r="CD330" s="409"/>
      <c r="CE330" s="409"/>
      <c r="CF330" s="409"/>
      <c r="CG330" s="409"/>
      <c r="CH330" s="409"/>
      <c r="CI330" s="409">
        <v>4079.8127999999997</v>
      </c>
      <c r="CJ330" s="409">
        <v>-421.85805000000073</v>
      </c>
      <c r="CK330" s="409"/>
      <c r="CL330" s="409"/>
      <c r="CM330" s="409"/>
      <c r="CN330" s="409"/>
      <c r="CO330" s="409">
        <v>-533.09945999999991</v>
      </c>
      <c r="CP330" s="409">
        <v>51.496020000000044</v>
      </c>
      <c r="CQ330" s="409">
        <v>31</v>
      </c>
      <c r="CR330" s="409">
        <v>90.536960667059702</v>
      </c>
      <c r="CS330" s="409">
        <v>0</v>
      </c>
      <c r="CT330" s="409">
        <v>0</v>
      </c>
      <c r="CU330" s="409">
        <v>0</v>
      </c>
      <c r="CV330" s="409">
        <v>0</v>
      </c>
      <c r="CW330" s="409">
        <v>0</v>
      </c>
      <c r="CX330" s="409">
        <v>0</v>
      </c>
      <c r="CY330" s="409">
        <v>0</v>
      </c>
      <c r="CZ330" s="409">
        <v>26.743176798094851</v>
      </c>
      <c r="DA330" s="409">
        <v>0</v>
      </c>
      <c r="DB330" s="409">
        <v>0</v>
      </c>
      <c r="DC330" s="409">
        <v>67.867292522785647</v>
      </c>
      <c r="DD330" s="409">
        <v>0</v>
      </c>
      <c r="DE330" s="409">
        <v>0</v>
      </c>
      <c r="DF330" s="409">
        <v>0</v>
      </c>
      <c r="DG330" s="409">
        <v>9.2072716667142913</v>
      </c>
      <c r="DH330" s="409">
        <v>0</v>
      </c>
      <c r="DI330" s="409">
        <v>-1.1046214828839425</v>
      </c>
      <c r="DJ330" s="409"/>
      <c r="DK330" s="409">
        <v>0</v>
      </c>
      <c r="DL330" s="409">
        <v>0</v>
      </c>
      <c r="DM330" s="409">
        <v>0</v>
      </c>
      <c r="DN330" s="409">
        <v>0</v>
      </c>
      <c r="DO330" s="409">
        <v>-0.34684855144099913</v>
      </c>
      <c r="DP330" s="409">
        <v>-0.61557508989561605</v>
      </c>
      <c r="DQ330" s="409">
        <v>0</v>
      </c>
      <c r="DR330" s="409">
        <v>-11.213735196314566</v>
      </c>
      <c r="DS330" s="409"/>
      <c r="DT330" s="409"/>
      <c r="DU330" s="409"/>
      <c r="DV330" s="409">
        <v>2495.9045002314797</v>
      </c>
      <c r="DW330" s="409">
        <v>0</v>
      </c>
      <c r="DX330" s="409">
        <v>0</v>
      </c>
      <c r="DY330" s="409">
        <v>-533.09945999999991</v>
      </c>
      <c r="DZ330" s="409">
        <v>51.496020000000044</v>
      </c>
      <c r="EA330" s="409">
        <v>0</v>
      </c>
      <c r="EB330" s="409">
        <v>0</v>
      </c>
      <c r="EC330" s="409">
        <v>-572.12000125062127</v>
      </c>
      <c r="ED330" s="409">
        <v>0</v>
      </c>
      <c r="EE330" s="409">
        <v>0</v>
      </c>
      <c r="EF330" s="409">
        <v>0</v>
      </c>
      <c r="EG330" s="409">
        <v>0</v>
      </c>
      <c r="EH330" s="409">
        <v>0</v>
      </c>
      <c r="EI330" s="409">
        <v>0</v>
      </c>
      <c r="EJ330" s="409">
        <v>0</v>
      </c>
      <c r="EK330" s="409">
        <v>0</v>
      </c>
      <c r="EL330" s="409">
        <v>0</v>
      </c>
      <c r="EM330" s="409">
        <v>0</v>
      </c>
      <c r="EN330" s="409">
        <v>0</v>
      </c>
      <c r="EO330" s="409">
        <v>0</v>
      </c>
      <c r="EP330" s="409">
        <v>0</v>
      </c>
      <c r="EQ330" s="409">
        <v>0</v>
      </c>
      <c r="ER330" s="409">
        <v>0</v>
      </c>
      <c r="ES330" s="409">
        <v>0</v>
      </c>
      <c r="ET330" s="409">
        <v>0</v>
      </c>
      <c r="EU330" s="409">
        <v>0</v>
      </c>
      <c r="EV330" s="409">
        <v>254</v>
      </c>
      <c r="EW330" s="409">
        <v>0</v>
      </c>
      <c r="EX330" s="409">
        <v>0</v>
      </c>
      <c r="EY330" s="409">
        <v>0</v>
      </c>
      <c r="EZ330" s="409"/>
      <c r="FA330" s="409">
        <v>0</v>
      </c>
      <c r="FB330" s="409"/>
      <c r="FC330" s="409"/>
      <c r="FD330" s="409"/>
      <c r="FE330" s="409"/>
      <c r="FF330" s="409">
        <v>0</v>
      </c>
      <c r="FG330" s="409">
        <v>0</v>
      </c>
      <c r="FH330" s="409">
        <v>0</v>
      </c>
      <c r="FI330" s="409">
        <v>0</v>
      </c>
    </row>
    <row r="331" spans="1:165">
      <c r="A331" s="409">
        <v>329</v>
      </c>
      <c r="B331" s="409" t="s">
        <v>1035</v>
      </c>
      <c r="C331" s="409" t="s">
        <v>2244</v>
      </c>
      <c r="D331" s="409" t="s">
        <v>2254</v>
      </c>
      <c r="E331" s="409" t="s">
        <v>973</v>
      </c>
      <c r="F331" s="409" t="s">
        <v>2261</v>
      </c>
      <c r="G331" s="409" t="s">
        <v>2263</v>
      </c>
      <c r="H331" s="409" t="s">
        <v>1323</v>
      </c>
      <c r="I331" s="409" t="s">
        <v>1323</v>
      </c>
      <c r="J331" s="409" t="s">
        <v>2245</v>
      </c>
      <c r="K331" s="835">
        <v>44621</v>
      </c>
      <c r="L331" s="409">
        <v>0</v>
      </c>
      <c r="M331" s="409">
        <v>0</v>
      </c>
      <c r="N331" s="409">
        <v>6.157</v>
      </c>
      <c r="O331" s="409">
        <v>1.66239</v>
      </c>
      <c r="P331" s="409">
        <v>6.157</v>
      </c>
      <c r="Q331" s="409">
        <v>1.66239</v>
      </c>
      <c r="R331" s="409"/>
      <c r="S331" s="409">
        <v>597.01</v>
      </c>
      <c r="T331" s="409">
        <v>243.39</v>
      </c>
      <c r="U331" s="409"/>
      <c r="V331" s="409">
        <v>5174.3428000000004</v>
      </c>
      <c r="W331" s="409">
        <v>5174.3428000000004</v>
      </c>
      <c r="X331" s="409">
        <v>4687.2009600000001</v>
      </c>
      <c r="Y331" s="409">
        <v>0</v>
      </c>
      <c r="Z331" s="409">
        <v>153.20757075322163</v>
      </c>
      <c r="AA331" s="409">
        <v>0</v>
      </c>
      <c r="AB331" s="409">
        <v>0</v>
      </c>
      <c r="AC331" s="409">
        <v>0</v>
      </c>
      <c r="AD331" s="409">
        <v>721.53307695950161</v>
      </c>
      <c r="AE331" s="409">
        <v>2524.6071969648797</v>
      </c>
      <c r="AF331" s="409">
        <v>1498.5352662413454</v>
      </c>
      <c r="AG331" s="409">
        <v>0</v>
      </c>
      <c r="AH331" s="409">
        <v>0</v>
      </c>
      <c r="AI331" s="409">
        <v>0</v>
      </c>
      <c r="AJ331" s="409">
        <v>0</v>
      </c>
      <c r="AK331" s="409">
        <v>0</v>
      </c>
      <c r="AL331" s="409">
        <v>62.549522212067835</v>
      </c>
      <c r="AM331" s="409"/>
      <c r="AN331" s="409">
        <v>10.570777333907881</v>
      </c>
      <c r="AO331" s="409">
        <v>0</v>
      </c>
      <c r="AP331" s="409">
        <v>0</v>
      </c>
      <c r="AQ331" s="409">
        <v>0</v>
      </c>
      <c r="AR331" s="409">
        <v>0</v>
      </c>
      <c r="AS331" s="409">
        <v>0</v>
      </c>
      <c r="AT331" s="409">
        <v>0</v>
      </c>
      <c r="AU331" s="409">
        <v>0</v>
      </c>
      <c r="AV331" s="409">
        <v>0</v>
      </c>
      <c r="AW331" s="409">
        <v>0</v>
      </c>
      <c r="AX331" s="409">
        <v>0</v>
      </c>
      <c r="AY331" s="409">
        <v>0</v>
      </c>
      <c r="AZ331" s="409">
        <v>0</v>
      </c>
      <c r="BA331" s="409"/>
      <c r="BB331" s="409">
        <v>0</v>
      </c>
      <c r="BC331" s="409">
        <v>0</v>
      </c>
      <c r="BD331" s="409">
        <v>0</v>
      </c>
      <c r="BE331" s="409">
        <v>0</v>
      </c>
      <c r="BF331" s="409">
        <v>0</v>
      </c>
      <c r="BG331" s="409">
        <v>203.30001073498462</v>
      </c>
      <c r="BH331" s="409">
        <v>0</v>
      </c>
      <c r="BI331" s="409">
        <v>0</v>
      </c>
      <c r="BJ331" s="409">
        <v>0</v>
      </c>
      <c r="BK331" s="409">
        <v>0</v>
      </c>
      <c r="BL331" s="409">
        <v>0</v>
      </c>
      <c r="BM331" s="409"/>
      <c r="BN331" s="409"/>
      <c r="BO331" s="409"/>
      <c r="BP331" s="409"/>
      <c r="BQ331" s="409"/>
      <c r="BR331" s="409"/>
      <c r="BS331" s="409">
        <v>3573.5326511999997</v>
      </c>
      <c r="BT331" s="409"/>
      <c r="BU331" s="409"/>
      <c r="BV331" s="409">
        <v>1701.8352769763301</v>
      </c>
      <c r="BW331" s="409"/>
      <c r="BX331" s="409"/>
      <c r="BY331" s="409"/>
      <c r="BZ331" s="409"/>
      <c r="CA331" s="409"/>
      <c r="CB331" s="409"/>
      <c r="CC331" s="409"/>
      <c r="CD331" s="409"/>
      <c r="CE331" s="409"/>
      <c r="CF331" s="409"/>
      <c r="CG331" s="409"/>
      <c r="CH331" s="409"/>
      <c r="CI331" s="409">
        <v>1112.0672</v>
      </c>
      <c r="CJ331" s="409">
        <v>-117.38332450000007</v>
      </c>
      <c r="CK331" s="409"/>
      <c r="CL331" s="409"/>
      <c r="CM331" s="409"/>
      <c r="CN331" s="409"/>
      <c r="CO331" s="409">
        <v>-539.23005999999987</v>
      </c>
      <c r="CP331" s="409">
        <v>52.088220000000049</v>
      </c>
      <c r="CQ331" s="409">
        <v>31</v>
      </c>
      <c r="CR331" s="409">
        <v>91.57812827781936</v>
      </c>
      <c r="CS331" s="409">
        <v>0</v>
      </c>
      <c r="CT331" s="409">
        <v>0</v>
      </c>
      <c r="CU331" s="409">
        <v>0</v>
      </c>
      <c r="CV331" s="409">
        <v>0</v>
      </c>
      <c r="CW331" s="409">
        <v>0</v>
      </c>
      <c r="CX331" s="409">
        <v>0</v>
      </c>
      <c r="CY331" s="409">
        <v>0</v>
      </c>
      <c r="CZ331" s="409">
        <v>27.050721134527635</v>
      </c>
      <c r="DA331" s="409">
        <v>0</v>
      </c>
      <c r="DB331" s="409">
        <v>0</v>
      </c>
      <c r="DC331" s="409">
        <v>68.647760812024217</v>
      </c>
      <c r="DD331" s="409">
        <v>0</v>
      </c>
      <c r="DE331" s="409">
        <v>0</v>
      </c>
      <c r="DF331" s="409">
        <v>0</v>
      </c>
      <c r="DG331" s="409">
        <v>9.3131545345752897</v>
      </c>
      <c r="DH331" s="409">
        <v>0</v>
      </c>
      <c r="DI331" s="409">
        <v>-1.1173245392010074</v>
      </c>
      <c r="DJ331" s="409"/>
      <c r="DK331" s="409">
        <v>0</v>
      </c>
      <c r="DL331" s="409">
        <v>0</v>
      </c>
      <c r="DM331" s="409">
        <v>0</v>
      </c>
      <c r="DN331" s="409">
        <v>0</v>
      </c>
      <c r="DO331" s="409">
        <v>-0.35083728129163916</v>
      </c>
      <c r="DP331" s="409">
        <v>-0.62265415286468162</v>
      </c>
      <c r="DQ331" s="409">
        <v>0</v>
      </c>
      <c r="DR331" s="409">
        <v>-11.342692229950515</v>
      </c>
      <c r="DS331" s="409"/>
      <c r="DT331" s="409"/>
      <c r="DU331" s="409"/>
      <c r="DV331" s="409">
        <v>2524.6071969648797</v>
      </c>
      <c r="DW331" s="409">
        <v>0</v>
      </c>
      <c r="DX331" s="409">
        <v>0</v>
      </c>
      <c r="DY331" s="409">
        <v>-539.23005999999987</v>
      </c>
      <c r="DZ331" s="409">
        <v>52.088219999999865</v>
      </c>
      <c r="EA331" s="409">
        <v>0</v>
      </c>
      <c r="EB331" s="409">
        <v>0</v>
      </c>
      <c r="EC331" s="409">
        <v>-578.69933426976786</v>
      </c>
      <c r="ED331" s="409">
        <v>0</v>
      </c>
      <c r="EE331" s="409">
        <v>0</v>
      </c>
      <c r="EF331" s="409">
        <v>0</v>
      </c>
      <c r="EG331" s="409">
        <v>0</v>
      </c>
      <c r="EH331" s="409">
        <v>0</v>
      </c>
      <c r="EI331" s="409">
        <v>0</v>
      </c>
      <c r="EJ331" s="409">
        <v>0</v>
      </c>
      <c r="EK331" s="409">
        <v>0</v>
      </c>
      <c r="EL331" s="409">
        <v>0</v>
      </c>
      <c r="EM331" s="409">
        <v>0</v>
      </c>
      <c r="EN331" s="409">
        <v>0</v>
      </c>
      <c r="EO331" s="409">
        <v>0</v>
      </c>
      <c r="EP331" s="409">
        <v>0</v>
      </c>
      <c r="EQ331" s="409">
        <v>0</v>
      </c>
      <c r="ER331" s="409">
        <v>0</v>
      </c>
      <c r="ES331" s="409">
        <v>0</v>
      </c>
      <c r="ET331" s="409">
        <v>0</v>
      </c>
      <c r="EU331" s="409">
        <v>0</v>
      </c>
      <c r="EV331" s="409">
        <v>254</v>
      </c>
      <c r="EW331" s="409">
        <v>0</v>
      </c>
      <c r="EX331" s="409">
        <v>0</v>
      </c>
      <c r="EY331" s="409">
        <v>0</v>
      </c>
      <c r="EZ331" s="409"/>
      <c r="FA331" s="409">
        <v>0</v>
      </c>
      <c r="FB331" s="409"/>
      <c r="FC331" s="409"/>
      <c r="FD331" s="409"/>
      <c r="FE331" s="409"/>
      <c r="FF331" s="409">
        <v>0</v>
      </c>
      <c r="FG331" s="409">
        <v>0</v>
      </c>
      <c r="FH331" s="409">
        <v>0</v>
      </c>
      <c r="FI331" s="409">
        <v>0</v>
      </c>
    </row>
    <row r="332" spans="1:165">
      <c r="A332" s="409">
        <v>330</v>
      </c>
      <c r="B332" s="409" t="s">
        <v>1035</v>
      </c>
      <c r="C332" s="409" t="s">
        <v>2244</v>
      </c>
      <c r="D332" s="409" t="s">
        <v>1991</v>
      </c>
      <c r="E332" s="409" t="s">
        <v>968</v>
      </c>
      <c r="F332" s="409" t="s">
        <v>968</v>
      </c>
      <c r="G332" s="409" t="s">
        <v>1323</v>
      </c>
      <c r="H332" s="409" t="s">
        <v>1323</v>
      </c>
      <c r="I332" s="409" t="s">
        <v>1323</v>
      </c>
      <c r="J332" s="409" t="s">
        <v>2245</v>
      </c>
      <c r="K332" s="835">
        <v>44652</v>
      </c>
      <c r="L332" s="409">
        <v>0</v>
      </c>
      <c r="M332" s="409">
        <v>0</v>
      </c>
      <c r="N332" s="409">
        <v>204.11</v>
      </c>
      <c r="O332" s="409">
        <v>204.11</v>
      </c>
      <c r="P332" s="409">
        <v>204.11</v>
      </c>
      <c r="Q332" s="409">
        <v>204.11</v>
      </c>
      <c r="R332" s="409"/>
      <c r="S332" s="409">
        <v>597.01</v>
      </c>
      <c r="T332" s="409">
        <v>243.39</v>
      </c>
      <c r="U332" s="409"/>
      <c r="V332" s="409">
        <v>171534.04399999999</v>
      </c>
      <c r="W332" s="409">
        <v>171534.04399999999</v>
      </c>
      <c r="X332" s="409">
        <v>155384.86080000002</v>
      </c>
      <c r="Y332" s="409">
        <v>0</v>
      </c>
      <c r="Z332" s="409">
        <v>5078.9665854214827</v>
      </c>
      <c r="AA332" s="409">
        <v>0</v>
      </c>
      <c r="AB332" s="409">
        <v>0</v>
      </c>
      <c r="AC332" s="409">
        <v>0</v>
      </c>
      <c r="AD332" s="409">
        <v>23919.460181615053</v>
      </c>
      <c r="AE332" s="409">
        <v>83692.963289345716</v>
      </c>
      <c r="AF332" s="409">
        <v>49677.770536384771</v>
      </c>
      <c r="AG332" s="409">
        <v>0</v>
      </c>
      <c r="AH332" s="409">
        <v>0</v>
      </c>
      <c r="AI332" s="409">
        <v>0</v>
      </c>
      <c r="AJ332" s="409">
        <v>0</v>
      </c>
      <c r="AK332" s="409">
        <v>0</v>
      </c>
      <c r="AL332" s="409">
        <v>2073.5720283750475</v>
      </c>
      <c r="AM332" s="409"/>
      <c r="AN332" s="409">
        <v>350.43062556828613</v>
      </c>
      <c r="AO332" s="409">
        <v>0</v>
      </c>
      <c r="AP332" s="409">
        <v>0</v>
      </c>
      <c r="AQ332" s="409">
        <v>0</v>
      </c>
      <c r="AR332" s="409">
        <v>0</v>
      </c>
      <c r="AS332" s="409">
        <v>0</v>
      </c>
      <c r="AT332" s="409">
        <v>0</v>
      </c>
      <c r="AU332" s="409">
        <v>0</v>
      </c>
      <c r="AV332" s="409">
        <v>0</v>
      </c>
      <c r="AW332" s="409">
        <v>0</v>
      </c>
      <c r="AX332" s="409">
        <v>0</v>
      </c>
      <c r="AY332" s="409">
        <v>0</v>
      </c>
      <c r="AZ332" s="409">
        <v>0</v>
      </c>
      <c r="BA332" s="409"/>
      <c r="BB332" s="409">
        <v>0</v>
      </c>
      <c r="BC332" s="409">
        <v>0</v>
      </c>
      <c r="BD332" s="409">
        <v>0</v>
      </c>
      <c r="BE332" s="409">
        <v>0</v>
      </c>
      <c r="BF332" s="409">
        <v>0</v>
      </c>
      <c r="BG332" s="409">
        <v>6739.5753112096336</v>
      </c>
      <c r="BH332" s="409">
        <v>0</v>
      </c>
      <c r="BI332" s="409">
        <v>53.7</v>
      </c>
      <c r="BJ332" s="409">
        <v>248.03</v>
      </c>
      <c r="BK332" s="409">
        <v>2130.94</v>
      </c>
      <c r="BL332" s="409">
        <v>1822</v>
      </c>
      <c r="BM332" s="409"/>
      <c r="BN332" s="409"/>
      <c r="BO332" s="409"/>
      <c r="BP332" s="409"/>
      <c r="BQ332" s="409"/>
      <c r="BR332" s="409"/>
      <c r="BS332" s="409"/>
      <c r="BT332" s="409"/>
      <c r="BU332" s="409"/>
      <c r="BV332" s="409">
        <v>56417.345847594406</v>
      </c>
      <c r="BW332" s="409"/>
      <c r="BX332" s="409"/>
      <c r="BY332" s="409"/>
      <c r="BZ332" s="409"/>
      <c r="CA332" s="409"/>
      <c r="CB332" s="409"/>
      <c r="CC332" s="409"/>
      <c r="CD332" s="409"/>
      <c r="CE332" s="409"/>
      <c r="CF332" s="409"/>
      <c r="CG332" s="409"/>
      <c r="CH332" s="409"/>
      <c r="CI332" s="409">
        <v>155384.86080000002</v>
      </c>
      <c r="CJ332" s="409">
        <v>-16149.213199999969</v>
      </c>
      <c r="CK332" s="409"/>
      <c r="CL332" s="409"/>
      <c r="CM332" s="409"/>
      <c r="CN332" s="409"/>
      <c r="CO332" s="409">
        <v>-17875.953799999999</v>
      </c>
      <c r="CP332" s="409">
        <v>1726.7706000000017</v>
      </c>
      <c r="CQ332" s="409">
        <v>30</v>
      </c>
      <c r="CR332" s="409">
        <v>3035.8960147450998</v>
      </c>
      <c r="CS332" s="409">
        <v>0</v>
      </c>
      <c r="CT332" s="409">
        <v>0</v>
      </c>
      <c r="CU332" s="409">
        <v>0</v>
      </c>
      <c r="CV332" s="409">
        <v>0</v>
      </c>
      <c r="CW332" s="409">
        <v>0</v>
      </c>
      <c r="CX332" s="409">
        <v>0</v>
      </c>
      <c r="CY332" s="409">
        <v>0</v>
      </c>
      <c r="CZ332" s="409">
        <v>896.75535013292756</v>
      </c>
      <c r="DA332" s="409">
        <v>0</v>
      </c>
      <c r="DB332" s="409">
        <v>0</v>
      </c>
      <c r="DC332" s="409">
        <v>2275.7340359496957</v>
      </c>
      <c r="DD332" s="409">
        <v>0</v>
      </c>
      <c r="DE332" s="409">
        <v>0</v>
      </c>
      <c r="DF332" s="409">
        <v>0</v>
      </c>
      <c r="DG332" s="409">
        <v>308.73931655874003</v>
      </c>
      <c r="DH332" s="409">
        <v>0</v>
      </c>
      <c r="DI332" s="409">
        <v>-37.040297498183463</v>
      </c>
      <c r="DJ332" s="409"/>
      <c r="DK332" s="409">
        <v>0</v>
      </c>
      <c r="DL332" s="409">
        <v>0</v>
      </c>
      <c r="DM332" s="409">
        <v>0</v>
      </c>
      <c r="DN332" s="409">
        <v>0</v>
      </c>
      <c r="DO332" s="409">
        <v>-11.630566425928009</v>
      </c>
      <c r="DP332" s="409">
        <v>-20.641536323081084</v>
      </c>
      <c r="DQ332" s="409">
        <v>0</v>
      </c>
      <c r="DR332" s="409">
        <v>-376.02028764904992</v>
      </c>
      <c r="DS332" s="409"/>
      <c r="DT332" s="409"/>
      <c r="DU332" s="409"/>
      <c r="DV332" s="409">
        <v>83692.963289345716</v>
      </c>
      <c r="DW332" s="409">
        <v>0</v>
      </c>
      <c r="DX332" s="409">
        <v>0</v>
      </c>
      <c r="DY332" s="409">
        <v>-17875.953799999988</v>
      </c>
      <c r="DZ332" s="409">
        <v>1726.7706000000035</v>
      </c>
      <c r="EA332" s="409">
        <v>0</v>
      </c>
      <c r="EB332" s="409">
        <v>0</v>
      </c>
      <c r="EC332" s="409">
        <v>-19184.395179113577</v>
      </c>
      <c r="ED332" s="409">
        <v>0</v>
      </c>
      <c r="EE332" s="409">
        <v>0</v>
      </c>
      <c r="EF332" s="409">
        <v>0</v>
      </c>
      <c r="EG332" s="409">
        <v>0</v>
      </c>
      <c r="EH332" s="409">
        <v>0</v>
      </c>
      <c r="EI332" s="409">
        <v>0</v>
      </c>
      <c r="EJ332" s="409">
        <v>0</v>
      </c>
      <c r="EK332" s="409">
        <v>0</v>
      </c>
      <c r="EL332" s="409">
        <v>0</v>
      </c>
      <c r="EM332" s="409">
        <v>0</v>
      </c>
      <c r="EN332" s="409">
        <v>0</v>
      </c>
      <c r="EO332" s="409">
        <v>0</v>
      </c>
      <c r="EP332" s="409">
        <v>0</v>
      </c>
      <c r="EQ332" s="409">
        <v>0</v>
      </c>
      <c r="ER332" s="409">
        <v>0</v>
      </c>
      <c r="ES332" s="409">
        <v>0</v>
      </c>
      <c r="ET332" s="409">
        <v>0</v>
      </c>
      <c r="EU332" s="409">
        <v>0</v>
      </c>
      <c r="EV332" s="409">
        <v>254</v>
      </c>
      <c r="EW332" s="409">
        <v>0</v>
      </c>
      <c r="EX332" s="409">
        <v>0</v>
      </c>
      <c r="EY332" s="409">
        <v>0</v>
      </c>
      <c r="EZ332" s="409"/>
      <c r="FA332" s="409">
        <v>0</v>
      </c>
      <c r="FB332" s="409"/>
      <c r="FC332" s="409"/>
      <c r="FD332" s="409"/>
      <c r="FE332" s="409"/>
      <c r="FF332" s="409">
        <v>0</v>
      </c>
      <c r="FG332" s="409">
        <v>0</v>
      </c>
      <c r="FH332" s="409">
        <v>0</v>
      </c>
      <c r="FI332" s="409">
        <v>0</v>
      </c>
    </row>
    <row r="333" spans="1:165">
      <c r="A333" s="409">
        <v>331</v>
      </c>
      <c r="B333" s="409" t="s">
        <v>2246</v>
      </c>
      <c r="C333" s="409" t="s">
        <v>2244</v>
      </c>
      <c r="D333" s="409" t="s">
        <v>1991</v>
      </c>
      <c r="E333" s="409" t="s">
        <v>968</v>
      </c>
      <c r="F333" s="409" t="s">
        <v>968</v>
      </c>
      <c r="G333" s="409" t="s">
        <v>1323</v>
      </c>
      <c r="H333" s="409" t="s">
        <v>1323</v>
      </c>
      <c r="I333" s="409" t="s">
        <v>1323</v>
      </c>
      <c r="J333" s="409" t="s">
        <v>2245</v>
      </c>
      <c r="K333" s="835">
        <v>44652</v>
      </c>
      <c r="L333" s="409">
        <v>0</v>
      </c>
      <c r="M333" s="409">
        <v>0</v>
      </c>
      <c r="N333" s="409">
        <v>3.931</v>
      </c>
      <c r="O333" s="409">
        <v>3.931</v>
      </c>
      <c r="P333" s="409">
        <v>3.931</v>
      </c>
      <c r="Q333" s="409">
        <v>3.931</v>
      </c>
      <c r="R333" s="409"/>
      <c r="S333" s="409">
        <v>597.01</v>
      </c>
      <c r="T333" s="409">
        <v>243.39</v>
      </c>
      <c r="U333" s="409"/>
      <c r="V333" s="409">
        <v>3303.6124</v>
      </c>
      <c r="W333" s="409">
        <v>3303.6124</v>
      </c>
      <c r="X333" s="409">
        <v>2992.59168</v>
      </c>
      <c r="Y333" s="409">
        <v>0</v>
      </c>
      <c r="Z333" s="409">
        <v>97.816949915691765</v>
      </c>
      <c r="AA333" s="409">
        <v>0</v>
      </c>
      <c r="AB333" s="409">
        <v>0</v>
      </c>
      <c r="AC333" s="409">
        <v>0</v>
      </c>
      <c r="AD333" s="409">
        <v>460.67021691210022</v>
      </c>
      <c r="AE333" s="409">
        <v>1611.8614408427711</v>
      </c>
      <c r="AF333" s="409">
        <v>956.75525931374523</v>
      </c>
      <c r="AG333" s="409">
        <v>0</v>
      </c>
      <c r="AH333" s="409">
        <v>0</v>
      </c>
      <c r="AI333" s="409">
        <v>0</v>
      </c>
      <c r="AJ333" s="409">
        <v>0</v>
      </c>
      <c r="AK333" s="409">
        <v>0</v>
      </c>
      <c r="AL333" s="409">
        <v>39.935386034698503</v>
      </c>
      <c r="AM333" s="409"/>
      <c r="AN333" s="409">
        <v>6.7490215526379531</v>
      </c>
      <c r="AO333" s="409">
        <v>0</v>
      </c>
      <c r="AP333" s="409">
        <v>0</v>
      </c>
      <c r="AQ333" s="409">
        <v>0</v>
      </c>
      <c r="AR333" s="409">
        <v>0</v>
      </c>
      <c r="AS333" s="409">
        <v>0</v>
      </c>
      <c r="AT333" s="409">
        <v>0</v>
      </c>
      <c r="AU333" s="409">
        <v>0</v>
      </c>
      <c r="AV333" s="409">
        <v>0</v>
      </c>
      <c r="AW333" s="409">
        <v>0</v>
      </c>
      <c r="AX333" s="409">
        <v>0</v>
      </c>
      <c r="AY333" s="409">
        <v>0</v>
      </c>
      <c r="AZ333" s="409">
        <v>0</v>
      </c>
      <c r="BA333" s="409"/>
      <c r="BB333" s="409">
        <v>0</v>
      </c>
      <c r="BC333" s="409">
        <v>0</v>
      </c>
      <c r="BD333" s="409">
        <v>0</v>
      </c>
      <c r="BE333" s="409">
        <v>0</v>
      </c>
      <c r="BF333" s="409">
        <v>0</v>
      </c>
      <c r="BG333" s="409">
        <v>129.79898362826449</v>
      </c>
      <c r="BH333" s="409">
        <v>0</v>
      </c>
      <c r="BI333" s="409">
        <v>0</v>
      </c>
      <c r="BJ333" s="409">
        <v>0</v>
      </c>
      <c r="BK333" s="409">
        <v>0</v>
      </c>
      <c r="BL333" s="409">
        <v>17</v>
      </c>
      <c r="BM333" s="409"/>
      <c r="BN333" s="409"/>
      <c r="BO333" s="409"/>
      <c r="BP333" s="409"/>
      <c r="BQ333" s="409"/>
      <c r="BR333" s="409"/>
      <c r="BS333" s="409"/>
      <c r="BT333" s="409"/>
      <c r="BU333" s="409"/>
      <c r="BV333" s="409">
        <v>1086.5542429420098</v>
      </c>
      <c r="BW333" s="409"/>
      <c r="BX333" s="409"/>
      <c r="BY333" s="409"/>
      <c r="BZ333" s="409"/>
      <c r="CA333" s="409"/>
      <c r="CB333" s="409"/>
      <c r="CC333" s="409"/>
      <c r="CD333" s="409"/>
      <c r="CE333" s="409"/>
      <c r="CF333" s="409"/>
      <c r="CG333" s="409"/>
      <c r="CH333" s="409"/>
      <c r="CI333" s="409">
        <v>2991.8304000000003</v>
      </c>
      <c r="CJ333" s="409">
        <v>-311.81200000000035</v>
      </c>
      <c r="CK333" s="409"/>
      <c r="CL333" s="409"/>
      <c r="CM333" s="409"/>
      <c r="CN333" s="409"/>
      <c r="CO333" s="409">
        <v>-344.27697999999992</v>
      </c>
      <c r="CP333" s="409">
        <v>33.256260000000033</v>
      </c>
      <c r="CQ333" s="409">
        <v>30</v>
      </c>
      <c r="CR333" s="409">
        <v>58.468998255661518</v>
      </c>
      <c r="CS333" s="409">
        <v>0</v>
      </c>
      <c r="CT333" s="409">
        <v>0</v>
      </c>
      <c r="CU333" s="409">
        <v>0</v>
      </c>
      <c r="CV333" s="409">
        <v>0</v>
      </c>
      <c r="CW333" s="409">
        <v>0</v>
      </c>
      <c r="CX333" s="409">
        <v>0</v>
      </c>
      <c r="CY333" s="409">
        <v>0</v>
      </c>
      <c r="CZ333" s="409">
        <v>17.270811235963663</v>
      </c>
      <c r="DA333" s="409">
        <v>0</v>
      </c>
      <c r="DB333" s="409">
        <v>0</v>
      </c>
      <c r="DC333" s="409">
        <v>43.82886921423858</v>
      </c>
      <c r="DD333" s="409">
        <v>0</v>
      </c>
      <c r="DE333" s="409">
        <v>0</v>
      </c>
      <c r="DF333" s="409">
        <v>0</v>
      </c>
      <c r="DG333" s="409">
        <v>5.9460793365950337</v>
      </c>
      <c r="DH333" s="409">
        <v>0</v>
      </c>
      <c r="DI333" s="409">
        <v>-0.7133673483188403</v>
      </c>
      <c r="DJ333" s="409"/>
      <c r="DK333" s="409">
        <v>0</v>
      </c>
      <c r="DL333" s="409">
        <v>0</v>
      </c>
      <c r="DM333" s="409">
        <v>0</v>
      </c>
      <c r="DN333" s="409">
        <v>0</v>
      </c>
      <c r="DO333" s="409">
        <v>-0.22399567204116977</v>
      </c>
      <c r="DP333" s="409">
        <v>-0.3975399504484427</v>
      </c>
      <c r="DQ333" s="409">
        <v>0</v>
      </c>
      <c r="DR333" s="409">
        <v>-7.2418585603273469</v>
      </c>
      <c r="DS333" s="409"/>
      <c r="DT333" s="409"/>
      <c r="DU333" s="409"/>
      <c r="DV333" s="409">
        <v>1611.8614408427711</v>
      </c>
      <c r="DW333" s="409">
        <v>0</v>
      </c>
      <c r="DX333" s="409">
        <v>0</v>
      </c>
      <c r="DY333" s="409">
        <v>-344.27697999999987</v>
      </c>
      <c r="DZ333" s="409">
        <v>33.256259999999997</v>
      </c>
      <c r="EA333" s="409">
        <v>0</v>
      </c>
      <c r="EB333" s="409">
        <v>0</v>
      </c>
      <c r="EC333" s="409">
        <v>-369.47654426091572</v>
      </c>
      <c r="ED333" s="409">
        <v>0</v>
      </c>
      <c r="EE333" s="409">
        <v>0</v>
      </c>
      <c r="EF333" s="409">
        <v>0</v>
      </c>
      <c r="EG333" s="409">
        <v>0</v>
      </c>
      <c r="EH333" s="409">
        <v>0</v>
      </c>
      <c r="EI333" s="409">
        <v>0</v>
      </c>
      <c r="EJ333" s="409">
        <v>0</v>
      </c>
      <c r="EK333" s="409">
        <v>0</v>
      </c>
      <c r="EL333" s="409">
        <v>0</v>
      </c>
      <c r="EM333" s="409">
        <v>0</v>
      </c>
      <c r="EN333" s="409">
        <v>0</v>
      </c>
      <c r="EO333" s="409">
        <v>0</v>
      </c>
      <c r="EP333" s="409">
        <v>0</v>
      </c>
      <c r="EQ333" s="409">
        <v>0</v>
      </c>
      <c r="ER333" s="409">
        <v>0</v>
      </c>
      <c r="ES333" s="409">
        <v>0</v>
      </c>
      <c r="ET333" s="409">
        <v>0</v>
      </c>
      <c r="EU333" s="409">
        <v>0</v>
      </c>
      <c r="EV333" s="409">
        <v>254</v>
      </c>
      <c r="EW333" s="409">
        <v>0</v>
      </c>
      <c r="EX333" s="409">
        <v>0</v>
      </c>
      <c r="EY333" s="409">
        <v>0</v>
      </c>
      <c r="EZ333" s="409"/>
      <c r="FA333" s="409">
        <v>0</v>
      </c>
      <c r="FB333" s="409"/>
      <c r="FC333" s="409"/>
      <c r="FD333" s="409"/>
      <c r="FE333" s="409"/>
      <c r="FF333" s="409">
        <v>0</v>
      </c>
      <c r="FG333" s="409">
        <v>0</v>
      </c>
      <c r="FH333" s="409">
        <v>0</v>
      </c>
      <c r="FI333" s="409">
        <v>0</v>
      </c>
    </row>
    <row r="334" spans="1:165">
      <c r="A334" s="409">
        <v>332</v>
      </c>
      <c r="B334" s="409" t="s">
        <v>1035</v>
      </c>
      <c r="C334" s="409" t="s">
        <v>2244</v>
      </c>
      <c r="D334" s="409" t="s">
        <v>1991</v>
      </c>
      <c r="E334" s="409" t="s">
        <v>968</v>
      </c>
      <c r="F334" s="409" t="s">
        <v>2247</v>
      </c>
      <c r="G334" s="409" t="s">
        <v>1323</v>
      </c>
      <c r="H334" s="409" t="s">
        <v>1323</v>
      </c>
      <c r="I334" s="409" t="s">
        <v>1323</v>
      </c>
      <c r="J334" s="409" t="s">
        <v>2245</v>
      </c>
      <c r="K334" s="835">
        <v>44652</v>
      </c>
      <c r="L334" s="409">
        <v>0</v>
      </c>
      <c r="M334" s="409">
        <v>0</v>
      </c>
      <c r="N334" s="409">
        <v>77.040000000000006</v>
      </c>
      <c r="O334" s="409">
        <v>77.040000000000006</v>
      </c>
      <c r="P334" s="409">
        <v>77.040000000000006</v>
      </c>
      <c r="Q334" s="409">
        <v>77.040000000000006</v>
      </c>
      <c r="R334" s="409"/>
      <c r="S334" s="409">
        <v>561.96</v>
      </c>
      <c r="T334" s="409">
        <v>243.39</v>
      </c>
      <c r="U334" s="409"/>
      <c r="V334" s="409">
        <v>62044.164000000004</v>
      </c>
      <c r="W334" s="409">
        <v>62044.164000000004</v>
      </c>
      <c r="X334" s="409">
        <v>55963.396800000002</v>
      </c>
      <c r="Y334" s="409">
        <v>0</v>
      </c>
      <c r="Z334" s="409">
        <v>0</v>
      </c>
      <c r="AA334" s="409">
        <v>0</v>
      </c>
      <c r="AB334" s="409">
        <v>0</v>
      </c>
      <c r="AC334" s="409">
        <v>0</v>
      </c>
      <c r="AD334" s="409">
        <v>9028.2456145785309</v>
      </c>
      <c r="AE334" s="409">
        <v>31589.367947730119</v>
      </c>
      <c r="AF334" s="409">
        <v>18750.553339488917</v>
      </c>
      <c r="AG334" s="409">
        <v>0</v>
      </c>
      <c r="AH334" s="409">
        <v>0</v>
      </c>
      <c r="AI334" s="409">
        <v>0</v>
      </c>
      <c r="AJ334" s="409">
        <v>0</v>
      </c>
      <c r="AK334" s="409">
        <v>0</v>
      </c>
      <c r="AL334" s="409">
        <v>0</v>
      </c>
      <c r="AM334" s="409"/>
      <c r="AN334" s="409">
        <v>132.26777420891071</v>
      </c>
      <c r="AO334" s="409">
        <v>0</v>
      </c>
      <c r="AP334" s="409">
        <v>0</v>
      </c>
      <c r="AQ334" s="409">
        <v>0</v>
      </c>
      <c r="AR334" s="409">
        <v>0</v>
      </c>
      <c r="AS334" s="409">
        <v>0</v>
      </c>
      <c r="AT334" s="409">
        <v>0</v>
      </c>
      <c r="AU334" s="409">
        <v>0</v>
      </c>
      <c r="AV334" s="409">
        <v>0</v>
      </c>
      <c r="AW334" s="409">
        <v>0</v>
      </c>
      <c r="AX334" s="409">
        <v>0</v>
      </c>
      <c r="AY334" s="409">
        <v>0</v>
      </c>
      <c r="AZ334" s="409">
        <v>0</v>
      </c>
      <c r="BA334" s="409"/>
      <c r="BB334" s="409">
        <v>0</v>
      </c>
      <c r="BC334" s="409">
        <v>0</v>
      </c>
      <c r="BD334" s="409">
        <v>0</v>
      </c>
      <c r="BE334" s="409">
        <v>0</v>
      </c>
      <c r="BF334" s="409">
        <v>0</v>
      </c>
      <c r="BG334" s="409">
        <v>2543.8091322110145</v>
      </c>
      <c r="BH334" s="409">
        <v>0</v>
      </c>
      <c r="BI334" s="409">
        <v>0</v>
      </c>
      <c r="BJ334" s="409">
        <v>0</v>
      </c>
      <c r="BK334" s="409">
        <v>0</v>
      </c>
      <c r="BL334" s="409">
        <v>170</v>
      </c>
      <c r="BM334" s="409"/>
      <c r="BN334" s="409"/>
      <c r="BO334" s="409"/>
      <c r="BP334" s="409"/>
      <c r="BQ334" s="409"/>
      <c r="BR334" s="409"/>
      <c r="BS334" s="409"/>
      <c r="BT334" s="409">
        <v>36375.976800000004</v>
      </c>
      <c r="BU334" s="409"/>
      <c r="BV334" s="409">
        <v>21294.362471699933</v>
      </c>
      <c r="BW334" s="409"/>
      <c r="BX334" s="409"/>
      <c r="BY334" s="409"/>
      <c r="BZ334" s="409"/>
      <c r="CA334" s="409"/>
      <c r="CB334" s="409"/>
      <c r="CC334" s="409"/>
      <c r="CD334" s="409"/>
      <c r="CE334" s="409"/>
      <c r="CF334" s="409"/>
      <c r="CG334" s="409"/>
      <c r="CH334" s="409"/>
      <c r="CI334" s="409">
        <v>19587.420000000002</v>
      </c>
      <c r="CJ334" s="409">
        <v>-2128.645199999999</v>
      </c>
      <c r="CK334" s="409"/>
      <c r="CL334" s="409"/>
      <c r="CM334" s="409"/>
      <c r="CN334" s="409"/>
      <c r="CO334" s="409">
        <v>-6732.5256000000036</v>
      </c>
      <c r="CP334" s="409">
        <v>651.75840000000062</v>
      </c>
      <c r="CQ334" s="409">
        <v>30</v>
      </c>
      <c r="CR334" s="409">
        <v>1160.438561766663</v>
      </c>
      <c r="CS334" s="409">
        <v>0</v>
      </c>
      <c r="CT334" s="409">
        <v>0</v>
      </c>
      <c r="CU334" s="409">
        <v>0</v>
      </c>
      <c r="CV334" s="409">
        <v>0</v>
      </c>
      <c r="CW334" s="409">
        <v>0</v>
      </c>
      <c r="CX334" s="409">
        <v>0</v>
      </c>
      <c r="CY334" s="409">
        <v>0</v>
      </c>
      <c r="CZ334" s="409">
        <v>338.47450969693091</v>
      </c>
      <c r="DA334" s="409">
        <v>0</v>
      </c>
      <c r="DB334" s="409">
        <v>0</v>
      </c>
      <c r="DC334" s="409">
        <v>858.96110004196089</v>
      </c>
      <c r="DD334" s="409">
        <v>0</v>
      </c>
      <c r="DE334" s="409">
        <v>0</v>
      </c>
      <c r="DF334" s="409">
        <v>0</v>
      </c>
      <c r="DG334" s="409">
        <v>116.53165914303736</v>
      </c>
      <c r="DH334" s="409">
        <v>0</v>
      </c>
      <c r="DI334" s="409">
        <v>0</v>
      </c>
      <c r="DJ334" s="409"/>
      <c r="DK334" s="409">
        <v>0</v>
      </c>
      <c r="DL334" s="409">
        <v>0</v>
      </c>
      <c r="DM334" s="409">
        <v>0</v>
      </c>
      <c r="DN334" s="409">
        <v>0</v>
      </c>
      <c r="DO334" s="409">
        <v>0</v>
      </c>
      <c r="DP334" s="409">
        <v>-7.7910144448099885</v>
      </c>
      <c r="DQ334" s="409">
        <v>0</v>
      </c>
      <c r="DR334" s="409">
        <v>-145.73769267045282</v>
      </c>
      <c r="DS334" s="409"/>
      <c r="DT334" s="409"/>
      <c r="DU334" s="409"/>
      <c r="DV334" s="409">
        <v>31589.367947730119</v>
      </c>
      <c r="DW334" s="409">
        <v>0</v>
      </c>
      <c r="DX334" s="409">
        <v>0</v>
      </c>
      <c r="DY334" s="409">
        <v>-6732.5256000000008</v>
      </c>
      <c r="DZ334" s="409">
        <v>651.75840000000244</v>
      </c>
      <c r="EA334" s="409">
        <v>0</v>
      </c>
      <c r="EB334" s="409">
        <v>0</v>
      </c>
      <c r="EC334" s="409">
        <v>-7241.0259399290117</v>
      </c>
      <c r="ED334" s="409">
        <v>0</v>
      </c>
      <c r="EE334" s="409">
        <v>0</v>
      </c>
      <c r="EF334" s="409">
        <v>0</v>
      </c>
      <c r="EG334" s="409">
        <v>0</v>
      </c>
      <c r="EH334" s="409">
        <v>0</v>
      </c>
      <c r="EI334" s="409">
        <v>0</v>
      </c>
      <c r="EJ334" s="409">
        <v>0</v>
      </c>
      <c r="EK334" s="409">
        <v>0</v>
      </c>
      <c r="EL334" s="409">
        <v>0</v>
      </c>
      <c r="EM334" s="409">
        <v>0</v>
      </c>
      <c r="EN334" s="409">
        <v>0</v>
      </c>
      <c r="EO334" s="409">
        <v>0</v>
      </c>
      <c r="EP334" s="409">
        <v>0</v>
      </c>
      <c r="EQ334" s="409">
        <v>0</v>
      </c>
      <c r="ER334" s="409">
        <v>0</v>
      </c>
      <c r="ES334" s="409">
        <v>0</v>
      </c>
      <c r="ET334" s="409">
        <v>0</v>
      </c>
      <c r="EU334" s="409">
        <v>0</v>
      </c>
      <c r="EV334" s="409">
        <v>254</v>
      </c>
      <c r="EW334" s="409">
        <v>0</v>
      </c>
      <c r="EX334" s="409">
        <v>0</v>
      </c>
      <c r="EY334" s="409">
        <v>0</v>
      </c>
      <c r="EZ334" s="409"/>
      <c r="FA334" s="409">
        <v>0</v>
      </c>
      <c r="FB334" s="409"/>
      <c r="FC334" s="409"/>
      <c r="FD334" s="409"/>
      <c r="FE334" s="409"/>
      <c r="FF334" s="409">
        <v>0</v>
      </c>
      <c r="FG334" s="409">
        <v>0</v>
      </c>
      <c r="FH334" s="409">
        <v>0</v>
      </c>
      <c r="FI334" s="409">
        <v>0</v>
      </c>
    </row>
    <row r="335" spans="1:165">
      <c r="A335" s="409">
        <v>333</v>
      </c>
      <c r="B335" s="409" t="s">
        <v>1035</v>
      </c>
      <c r="C335" s="409" t="s">
        <v>2244</v>
      </c>
      <c r="D335" s="409" t="s">
        <v>1991</v>
      </c>
      <c r="E335" s="409" t="s">
        <v>968</v>
      </c>
      <c r="F335" s="409" t="s">
        <v>2248</v>
      </c>
      <c r="G335" s="409" t="s">
        <v>1323</v>
      </c>
      <c r="H335" s="409" t="s">
        <v>1323</v>
      </c>
      <c r="I335" s="409" t="s">
        <v>1323</v>
      </c>
      <c r="J335" s="409" t="s">
        <v>2245</v>
      </c>
      <c r="K335" s="835">
        <v>44652</v>
      </c>
      <c r="L335" s="409">
        <v>0</v>
      </c>
      <c r="M335" s="409">
        <v>0</v>
      </c>
      <c r="N335" s="409">
        <v>123.492</v>
      </c>
      <c r="O335" s="409">
        <v>123.492</v>
      </c>
      <c r="P335" s="409">
        <v>123.492</v>
      </c>
      <c r="Q335" s="409">
        <v>123.492</v>
      </c>
      <c r="R335" s="409"/>
      <c r="S335" s="409">
        <v>561.96</v>
      </c>
      <c r="T335" s="409">
        <v>243.39</v>
      </c>
      <c r="U335" s="409"/>
      <c r="V335" s="409">
        <v>99454.282200000001</v>
      </c>
      <c r="W335" s="409">
        <v>99454.282200000001</v>
      </c>
      <c r="X335" s="409">
        <v>89707.058640000003</v>
      </c>
      <c r="Y335" s="409">
        <v>0</v>
      </c>
      <c r="Z335" s="409">
        <v>0</v>
      </c>
      <c r="AA335" s="409">
        <v>0</v>
      </c>
      <c r="AB335" s="409">
        <v>0</v>
      </c>
      <c r="AC335" s="409">
        <v>0</v>
      </c>
      <c r="AD335" s="409">
        <v>14471.912090284681</v>
      </c>
      <c r="AE335" s="409">
        <v>50636.477500014116</v>
      </c>
      <c r="AF335" s="409">
        <v>30056.377634996952</v>
      </c>
      <c r="AG335" s="409">
        <v>0</v>
      </c>
      <c r="AH335" s="409">
        <v>0</v>
      </c>
      <c r="AI335" s="409">
        <v>0</v>
      </c>
      <c r="AJ335" s="409">
        <v>0</v>
      </c>
      <c r="AK335" s="409">
        <v>0</v>
      </c>
      <c r="AL335" s="409">
        <v>0</v>
      </c>
      <c r="AM335" s="409"/>
      <c r="AN335" s="409">
        <v>212.01988541805295</v>
      </c>
      <c r="AO335" s="409">
        <v>0</v>
      </c>
      <c r="AP335" s="409">
        <v>0</v>
      </c>
      <c r="AQ335" s="409">
        <v>0</v>
      </c>
      <c r="AR335" s="409">
        <v>0</v>
      </c>
      <c r="AS335" s="409">
        <v>0</v>
      </c>
      <c r="AT335" s="409">
        <v>0</v>
      </c>
      <c r="AU335" s="409">
        <v>0</v>
      </c>
      <c r="AV335" s="409">
        <v>0</v>
      </c>
      <c r="AW335" s="409">
        <v>0</v>
      </c>
      <c r="AX335" s="409">
        <v>0</v>
      </c>
      <c r="AY335" s="409">
        <v>0</v>
      </c>
      <c r="AZ335" s="409">
        <v>0</v>
      </c>
      <c r="BA335" s="409"/>
      <c r="BB335" s="409">
        <v>0</v>
      </c>
      <c r="BC335" s="409">
        <v>0</v>
      </c>
      <c r="BD335" s="409">
        <v>0</v>
      </c>
      <c r="BE335" s="409">
        <v>0</v>
      </c>
      <c r="BF335" s="409">
        <v>0</v>
      </c>
      <c r="BG335" s="409">
        <v>4077.6230186267208</v>
      </c>
      <c r="BH335" s="409">
        <v>0</v>
      </c>
      <c r="BI335" s="409">
        <v>0</v>
      </c>
      <c r="BJ335" s="409">
        <v>0</v>
      </c>
      <c r="BK335" s="409">
        <v>0</v>
      </c>
      <c r="BL335" s="409">
        <v>1474</v>
      </c>
      <c r="BM335" s="409"/>
      <c r="BN335" s="409"/>
      <c r="BO335" s="409"/>
      <c r="BP335" s="409"/>
      <c r="BQ335" s="409"/>
      <c r="BR335" s="409"/>
      <c r="BS335" s="409"/>
      <c r="BT335" s="409">
        <v>35883.070439999996</v>
      </c>
      <c r="BU335" s="409"/>
      <c r="BV335" s="409">
        <v>34134.000653623676</v>
      </c>
      <c r="BW335" s="409"/>
      <c r="BX335" s="409"/>
      <c r="BY335" s="409"/>
      <c r="BZ335" s="409"/>
      <c r="CA335" s="409"/>
      <c r="CB335" s="409"/>
      <c r="CC335" s="409"/>
      <c r="CD335" s="409"/>
      <c r="CE335" s="409"/>
      <c r="CF335" s="409"/>
      <c r="CG335" s="409"/>
      <c r="CH335" s="409"/>
      <c r="CI335" s="409">
        <v>53823.116500000004</v>
      </c>
      <c r="CJ335" s="409">
        <v>-5849.4828199999974</v>
      </c>
      <c r="CK335" s="409"/>
      <c r="CL335" s="409"/>
      <c r="CM335" s="409"/>
      <c r="CN335" s="409"/>
      <c r="CO335" s="409">
        <v>-10791.965880000005</v>
      </c>
      <c r="CP335" s="409">
        <v>1044.742320000001</v>
      </c>
      <c r="CQ335" s="409">
        <v>30</v>
      </c>
      <c r="CR335" s="409">
        <v>1860.1360185577505</v>
      </c>
      <c r="CS335" s="409">
        <v>0</v>
      </c>
      <c r="CT335" s="409">
        <v>0</v>
      </c>
      <c r="CU335" s="409">
        <v>0</v>
      </c>
      <c r="CV335" s="409">
        <v>0</v>
      </c>
      <c r="CW335" s="409">
        <v>0</v>
      </c>
      <c r="CX335" s="409">
        <v>0</v>
      </c>
      <c r="CY335" s="409">
        <v>0</v>
      </c>
      <c r="CZ335" s="409">
        <v>542.56093135375886</v>
      </c>
      <c r="DA335" s="409">
        <v>0</v>
      </c>
      <c r="DB335" s="409">
        <v>0</v>
      </c>
      <c r="DC335" s="409">
        <v>1376.8798567806552</v>
      </c>
      <c r="DD335" s="409">
        <v>0</v>
      </c>
      <c r="DE335" s="409">
        <v>0</v>
      </c>
      <c r="DF335" s="409">
        <v>0</v>
      </c>
      <c r="DG335" s="409">
        <v>186.79553025560699</v>
      </c>
      <c r="DH335" s="409">
        <v>0</v>
      </c>
      <c r="DI335" s="409">
        <v>0</v>
      </c>
      <c r="DJ335" s="409"/>
      <c r="DK335" s="409">
        <v>0</v>
      </c>
      <c r="DL335" s="409">
        <v>0</v>
      </c>
      <c r="DM335" s="409">
        <v>0</v>
      </c>
      <c r="DN335" s="409">
        <v>0</v>
      </c>
      <c r="DO335" s="409">
        <v>0</v>
      </c>
      <c r="DP335" s="409">
        <v>-12.488680631080911</v>
      </c>
      <c r="DQ335" s="409">
        <v>0</v>
      </c>
      <c r="DR335" s="409">
        <v>-233.61161920118849</v>
      </c>
      <c r="DS335" s="409"/>
      <c r="DT335" s="409"/>
      <c r="DU335" s="409"/>
      <c r="DV335" s="409">
        <v>50636.477500014116</v>
      </c>
      <c r="DW335" s="409">
        <v>0</v>
      </c>
      <c r="DX335" s="409">
        <v>0</v>
      </c>
      <c r="DY335" s="409">
        <v>-10791.965880000003</v>
      </c>
      <c r="DZ335" s="409">
        <v>1044.7423200000012</v>
      </c>
      <c r="EA335" s="409">
        <v>0</v>
      </c>
      <c r="EB335" s="409">
        <v>0</v>
      </c>
      <c r="EC335" s="409">
        <v>-11607.07133143449</v>
      </c>
      <c r="ED335" s="409">
        <v>0</v>
      </c>
      <c r="EE335" s="409">
        <v>0</v>
      </c>
      <c r="EF335" s="409">
        <v>0</v>
      </c>
      <c r="EG335" s="409">
        <v>0</v>
      </c>
      <c r="EH335" s="409">
        <v>0</v>
      </c>
      <c r="EI335" s="409">
        <v>0</v>
      </c>
      <c r="EJ335" s="409">
        <v>0</v>
      </c>
      <c r="EK335" s="409">
        <v>0</v>
      </c>
      <c r="EL335" s="409">
        <v>0</v>
      </c>
      <c r="EM335" s="409">
        <v>0</v>
      </c>
      <c r="EN335" s="409">
        <v>0</v>
      </c>
      <c r="EO335" s="409">
        <v>0</v>
      </c>
      <c r="EP335" s="409">
        <v>0</v>
      </c>
      <c r="EQ335" s="409">
        <v>0</v>
      </c>
      <c r="ER335" s="409">
        <v>0</v>
      </c>
      <c r="ES335" s="409">
        <v>0</v>
      </c>
      <c r="ET335" s="409">
        <v>0</v>
      </c>
      <c r="EU335" s="409">
        <v>0</v>
      </c>
      <c r="EV335" s="409">
        <v>254</v>
      </c>
      <c r="EW335" s="409">
        <v>0</v>
      </c>
      <c r="EX335" s="409">
        <v>0</v>
      </c>
      <c r="EY335" s="409">
        <v>0</v>
      </c>
      <c r="EZ335" s="409"/>
      <c r="FA335" s="409">
        <v>0</v>
      </c>
      <c r="FB335" s="409"/>
      <c r="FC335" s="409"/>
      <c r="FD335" s="409"/>
      <c r="FE335" s="409"/>
      <c r="FF335" s="409">
        <v>0</v>
      </c>
      <c r="FG335" s="409">
        <v>0</v>
      </c>
      <c r="FH335" s="409">
        <v>0</v>
      </c>
      <c r="FI335" s="409">
        <v>0</v>
      </c>
    </row>
    <row r="336" spans="1:165">
      <c r="A336" s="409">
        <v>334</v>
      </c>
      <c r="B336" s="409" t="s">
        <v>1035</v>
      </c>
      <c r="C336" s="409" t="s">
        <v>2244</v>
      </c>
      <c r="D336" s="409" t="s">
        <v>1991</v>
      </c>
      <c r="E336" s="409" t="s">
        <v>968</v>
      </c>
      <c r="F336" s="409" t="s">
        <v>2249</v>
      </c>
      <c r="G336" s="409" t="s">
        <v>1323</v>
      </c>
      <c r="H336" s="409" t="s">
        <v>1323</v>
      </c>
      <c r="I336" s="409" t="s">
        <v>1323</v>
      </c>
      <c r="J336" s="409" t="s">
        <v>2245</v>
      </c>
      <c r="K336" s="835">
        <v>44652</v>
      </c>
      <c r="L336" s="409">
        <v>0</v>
      </c>
      <c r="M336" s="409">
        <v>0</v>
      </c>
      <c r="N336" s="409">
        <v>45.223999999999997</v>
      </c>
      <c r="O336" s="409">
        <v>45.223999999999997</v>
      </c>
      <c r="P336" s="409">
        <v>45.223999999999997</v>
      </c>
      <c r="Q336" s="409">
        <v>45.223999999999997</v>
      </c>
      <c r="R336" s="409"/>
      <c r="S336" s="409">
        <v>561.96</v>
      </c>
      <c r="T336" s="409">
        <v>243.39</v>
      </c>
      <c r="U336" s="409"/>
      <c r="V336" s="409">
        <v>36421.148399999998</v>
      </c>
      <c r="W336" s="409">
        <v>36421.148399999998</v>
      </c>
      <c r="X336" s="409">
        <v>32851.61808</v>
      </c>
      <c r="Y336" s="409">
        <v>0</v>
      </c>
      <c r="Z336" s="409">
        <v>0</v>
      </c>
      <c r="AA336" s="409">
        <v>0</v>
      </c>
      <c r="AB336" s="409">
        <v>0</v>
      </c>
      <c r="AC336" s="409">
        <v>0</v>
      </c>
      <c r="AD336" s="409">
        <v>5299.7583031373233</v>
      </c>
      <c r="AE336" s="409">
        <v>18543.582243875215</v>
      </c>
      <c r="AF336" s="409">
        <v>11006.94475889209</v>
      </c>
      <c r="AG336" s="409">
        <v>0</v>
      </c>
      <c r="AH336" s="409">
        <v>0</v>
      </c>
      <c r="AI336" s="409">
        <v>0</v>
      </c>
      <c r="AJ336" s="409">
        <v>0</v>
      </c>
      <c r="AK336" s="409">
        <v>0</v>
      </c>
      <c r="AL336" s="409">
        <v>0</v>
      </c>
      <c r="AM336" s="409"/>
      <c r="AN336" s="409">
        <v>77.643793105189204</v>
      </c>
      <c r="AO336" s="409">
        <v>0</v>
      </c>
      <c r="AP336" s="409">
        <v>0</v>
      </c>
      <c r="AQ336" s="409">
        <v>0</v>
      </c>
      <c r="AR336" s="409">
        <v>0</v>
      </c>
      <c r="AS336" s="409">
        <v>0</v>
      </c>
      <c r="AT336" s="409">
        <v>0</v>
      </c>
      <c r="AU336" s="409">
        <v>0</v>
      </c>
      <c r="AV336" s="409">
        <v>0</v>
      </c>
      <c r="AW336" s="409">
        <v>0</v>
      </c>
      <c r="AX336" s="409">
        <v>0</v>
      </c>
      <c r="AY336" s="409">
        <v>0</v>
      </c>
      <c r="AZ336" s="409">
        <v>0</v>
      </c>
      <c r="BA336" s="409"/>
      <c r="BB336" s="409">
        <v>0</v>
      </c>
      <c r="BC336" s="409">
        <v>0</v>
      </c>
      <c r="BD336" s="409">
        <v>0</v>
      </c>
      <c r="BE336" s="409">
        <v>0</v>
      </c>
      <c r="BF336" s="409">
        <v>0</v>
      </c>
      <c r="BG336" s="409">
        <v>1493.2661499884593</v>
      </c>
      <c r="BH336" s="409">
        <v>0</v>
      </c>
      <c r="BI336" s="409">
        <v>0</v>
      </c>
      <c r="BJ336" s="409">
        <v>0</v>
      </c>
      <c r="BK336" s="409">
        <v>0</v>
      </c>
      <c r="BL336" s="409">
        <v>818</v>
      </c>
      <c r="BM336" s="409"/>
      <c r="BN336" s="409"/>
      <c r="BO336" s="409"/>
      <c r="BP336" s="409"/>
      <c r="BQ336" s="409"/>
      <c r="BR336" s="409"/>
      <c r="BS336" s="409"/>
      <c r="BT336" s="409">
        <v>3285.071359999999</v>
      </c>
      <c r="BU336" s="409"/>
      <c r="BV336" s="409">
        <v>12500.21090888055</v>
      </c>
      <c r="BW336" s="409"/>
      <c r="BX336" s="409"/>
      <c r="BY336" s="409"/>
      <c r="BZ336" s="409"/>
      <c r="CA336" s="409"/>
      <c r="CB336" s="409"/>
      <c r="CC336" s="409"/>
      <c r="CD336" s="409"/>
      <c r="CE336" s="409"/>
      <c r="CF336" s="409"/>
      <c r="CG336" s="409"/>
      <c r="CH336" s="409"/>
      <c r="CI336" s="409">
        <v>29563.931599999996</v>
      </c>
      <c r="CJ336" s="409">
        <v>-3215.3580799999982</v>
      </c>
      <c r="CK336" s="409"/>
      <c r="CL336" s="409"/>
      <c r="CM336" s="409"/>
      <c r="CN336" s="409"/>
      <c r="CO336" s="409">
        <v>-3952.1253600000018</v>
      </c>
      <c r="CP336" s="409">
        <v>382.59504000000032</v>
      </c>
      <c r="CQ336" s="409">
        <v>30</v>
      </c>
      <c r="CR336" s="409">
        <v>681.20033122190944</v>
      </c>
      <c r="CS336" s="409">
        <v>0</v>
      </c>
      <c r="CT336" s="409">
        <v>0</v>
      </c>
      <c r="CU336" s="409">
        <v>0</v>
      </c>
      <c r="CV336" s="409">
        <v>0</v>
      </c>
      <c r="CW336" s="409">
        <v>0</v>
      </c>
      <c r="CX336" s="409">
        <v>0</v>
      </c>
      <c r="CY336" s="409">
        <v>0</v>
      </c>
      <c r="CZ336" s="409">
        <v>198.69121529769018</v>
      </c>
      <c r="DA336" s="409">
        <v>0</v>
      </c>
      <c r="DB336" s="409">
        <v>0</v>
      </c>
      <c r="DC336" s="409">
        <v>504.2271130360532</v>
      </c>
      <c r="DD336" s="409">
        <v>0</v>
      </c>
      <c r="DE336" s="409">
        <v>0</v>
      </c>
      <c r="DF336" s="409">
        <v>0</v>
      </c>
      <c r="DG336" s="409">
        <v>68.406383087807853</v>
      </c>
      <c r="DH336" s="409">
        <v>0</v>
      </c>
      <c r="DI336" s="409">
        <v>0</v>
      </c>
      <c r="DJ336" s="409"/>
      <c r="DK336" s="409">
        <v>0</v>
      </c>
      <c r="DL336" s="409">
        <v>0</v>
      </c>
      <c r="DM336" s="409">
        <v>0</v>
      </c>
      <c r="DN336" s="409">
        <v>0</v>
      </c>
      <c r="DO336" s="409">
        <v>0</v>
      </c>
      <c r="DP336" s="409">
        <v>-4.5734791958993526</v>
      </c>
      <c r="DQ336" s="409">
        <v>0</v>
      </c>
      <c r="DR336" s="409">
        <v>-85.550901003745565</v>
      </c>
      <c r="DS336" s="409"/>
      <c r="DT336" s="409"/>
      <c r="DU336" s="409"/>
      <c r="DV336" s="409">
        <v>18543.582243875215</v>
      </c>
      <c r="DW336" s="409">
        <v>0</v>
      </c>
      <c r="DX336" s="409">
        <v>0</v>
      </c>
      <c r="DY336" s="409">
        <v>-3952.1253600000018</v>
      </c>
      <c r="DZ336" s="409">
        <v>382.59504000000197</v>
      </c>
      <c r="EA336" s="409">
        <v>0</v>
      </c>
      <c r="EB336" s="409">
        <v>0</v>
      </c>
      <c r="EC336" s="409">
        <v>-4250.6250922553136</v>
      </c>
      <c r="ED336" s="409">
        <v>0</v>
      </c>
      <c r="EE336" s="409">
        <v>0</v>
      </c>
      <c r="EF336" s="409">
        <v>0</v>
      </c>
      <c r="EG336" s="409">
        <v>0</v>
      </c>
      <c r="EH336" s="409">
        <v>0</v>
      </c>
      <c r="EI336" s="409">
        <v>0</v>
      </c>
      <c r="EJ336" s="409">
        <v>0</v>
      </c>
      <c r="EK336" s="409">
        <v>0</v>
      </c>
      <c r="EL336" s="409">
        <v>0</v>
      </c>
      <c r="EM336" s="409">
        <v>0</v>
      </c>
      <c r="EN336" s="409">
        <v>0</v>
      </c>
      <c r="EO336" s="409">
        <v>0</v>
      </c>
      <c r="EP336" s="409">
        <v>0</v>
      </c>
      <c r="EQ336" s="409">
        <v>0</v>
      </c>
      <c r="ER336" s="409">
        <v>0</v>
      </c>
      <c r="ES336" s="409">
        <v>0</v>
      </c>
      <c r="ET336" s="409">
        <v>0</v>
      </c>
      <c r="EU336" s="409">
        <v>0</v>
      </c>
      <c r="EV336" s="409">
        <v>254</v>
      </c>
      <c r="EW336" s="409">
        <v>0</v>
      </c>
      <c r="EX336" s="409">
        <v>0</v>
      </c>
      <c r="EY336" s="409">
        <v>0</v>
      </c>
      <c r="EZ336" s="409"/>
      <c r="FA336" s="409">
        <v>0</v>
      </c>
      <c r="FB336" s="409"/>
      <c r="FC336" s="409"/>
      <c r="FD336" s="409"/>
      <c r="FE336" s="409"/>
      <c r="FF336" s="409">
        <v>0</v>
      </c>
      <c r="FG336" s="409">
        <v>0</v>
      </c>
      <c r="FH336" s="409">
        <v>0</v>
      </c>
      <c r="FI336" s="409">
        <v>0</v>
      </c>
    </row>
    <row r="337" spans="1:165">
      <c r="A337" s="409">
        <v>335</v>
      </c>
      <c r="B337" s="409" t="s">
        <v>1035</v>
      </c>
      <c r="C337" s="409" t="s">
        <v>2244</v>
      </c>
      <c r="D337" s="409" t="s">
        <v>1991</v>
      </c>
      <c r="E337" s="409" t="s">
        <v>968</v>
      </c>
      <c r="F337" s="409" t="s">
        <v>2250</v>
      </c>
      <c r="G337" s="409" t="s">
        <v>1323</v>
      </c>
      <c r="H337" s="409" t="s">
        <v>1323</v>
      </c>
      <c r="I337" s="409" t="s">
        <v>1323</v>
      </c>
      <c r="J337" s="409" t="s">
        <v>2245</v>
      </c>
      <c r="K337" s="835">
        <v>44652</v>
      </c>
      <c r="L337" s="409">
        <v>0</v>
      </c>
      <c r="M337" s="409">
        <v>0</v>
      </c>
      <c r="N337" s="409">
        <v>14.085000000000001</v>
      </c>
      <c r="O337" s="409">
        <v>14.085000000000001</v>
      </c>
      <c r="P337" s="409">
        <v>14.085000000000001</v>
      </c>
      <c r="Q337" s="409">
        <v>14.085000000000001</v>
      </c>
      <c r="R337" s="409"/>
      <c r="S337" s="409">
        <v>561.96</v>
      </c>
      <c r="T337" s="409">
        <v>243.39</v>
      </c>
      <c r="U337" s="409"/>
      <c r="V337" s="409">
        <v>11343.354750000002</v>
      </c>
      <c r="W337" s="409">
        <v>11343.354750000002</v>
      </c>
      <c r="X337" s="409">
        <v>10231.625700000001</v>
      </c>
      <c r="Y337" s="409">
        <v>0</v>
      </c>
      <c r="Z337" s="409">
        <v>0</v>
      </c>
      <c r="AA337" s="409">
        <v>0</v>
      </c>
      <c r="AB337" s="409">
        <v>0</v>
      </c>
      <c r="AC337" s="409">
        <v>0</v>
      </c>
      <c r="AD337" s="409">
        <v>1650.6079891139486</v>
      </c>
      <c r="AE337" s="409">
        <v>5775.39262128477</v>
      </c>
      <c r="AF337" s="409">
        <v>3428.1093430257192</v>
      </c>
      <c r="AG337" s="409">
        <v>0</v>
      </c>
      <c r="AH337" s="409">
        <v>0</v>
      </c>
      <c r="AI337" s="409">
        <v>0</v>
      </c>
      <c r="AJ337" s="409">
        <v>0</v>
      </c>
      <c r="AK337" s="409">
        <v>0</v>
      </c>
      <c r="AL337" s="409">
        <v>0</v>
      </c>
      <c r="AM337" s="409"/>
      <c r="AN337" s="409">
        <v>24.182133952914164</v>
      </c>
      <c r="AO337" s="409">
        <v>0</v>
      </c>
      <c r="AP337" s="409">
        <v>0</v>
      </c>
      <c r="AQ337" s="409">
        <v>0</v>
      </c>
      <c r="AR337" s="409">
        <v>0</v>
      </c>
      <c r="AS337" s="409">
        <v>0</v>
      </c>
      <c r="AT337" s="409">
        <v>0</v>
      </c>
      <c r="AU337" s="409">
        <v>0</v>
      </c>
      <c r="AV337" s="409">
        <v>0</v>
      </c>
      <c r="AW337" s="409">
        <v>0</v>
      </c>
      <c r="AX337" s="409">
        <v>0</v>
      </c>
      <c r="AY337" s="409">
        <v>0</v>
      </c>
      <c r="AZ337" s="409">
        <v>0</v>
      </c>
      <c r="BA337" s="409"/>
      <c r="BB337" s="409">
        <v>0</v>
      </c>
      <c r="BC337" s="409">
        <v>0</v>
      </c>
      <c r="BD337" s="409">
        <v>0</v>
      </c>
      <c r="BE337" s="409">
        <v>0</v>
      </c>
      <c r="BF337" s="409">
        <v>0</v>
      </c>
      <c r="BG337" s="409">
        <v>465.07725372783148</v>
      </c>
      <c r="BH337" s="409">
        <v>0</v>
      </c>
      <c r="BI337" s="409">
        <v>67.849999999999994</v>
      </c>
      <c r="BJ337" s="409">
        <v>312.88</v>
      </c>
      <c r="BK337" s="409">
        <v>1488.51</v>
      </c>
      <c r="BL337" s="409">
        <v>106</v>
      </c>
      <c r="BM337" s="409"/>
      <c r="BN337" s="409"/>
      <c r="BO337" s="409"/>
      <c r="BP337" s="409"/>
      <c r="BQ337" s="409"/>
      <c r="BR337" s="409"/>
      <c r="BS337" s="409"/>
      <c r="BT337" s="409"/>
      <c r="BU337" s="409"/>
      <c r="BV337" s="409">
        <v>3893.1865967535505</v>
      </c>
      <c r="BW337" s="409"/>
      <c r="BX337" s="409"/>
      <c r="BY337" s="409"/>
      <c r="BZ337" s="409"/>
      <c r="CA337" s="409"/>
      <c r="CB337" s="409"/>
      <c r="CC337" s="409"/>
      <c r="CD337" s="409"/>
      <c r="CE337" s="409"/>
      <c r="CF337" s="409"/>
      <c r="CG337" s="409"/>
      <c r="CH337" s="409"/>
      <c r="CI337" s="409">
        <v>10235.257799999999</v>
      </c>
      <c r="CJ337" s="409">
        <v>-1108.1269500000035</v>
      </c>
      <c r="CK337" s="409"/>
      <c r="CL337" s="409"/>
      <c r="CM337" s="409"/>
      <c r="CN337" s="409"/>
      <c r="CO337" s="409">
        <v>-1230.8881500000007</v>
      </c>
      <c r="CP337" s="409">
        <v>119.15910000000012</v>
      </c>
      <c r="CQ337" s="409">
        <v>30</v>
      </c>
      <c r="CR337" s="409">
        <v>212.1596202295359</v>
      </c>
      <c r="CS337" s="409">
        <v>0</v>
      </c>
      <c r="CT337" s="409">
        <v>0</v>
      </c>
      <c r="CU337" s="409">
        <v>0</v>
      </c>
      <c r="CV337" s="409">
        <v>0</v>
      </c>
      <c r="CW337" s="409">
        <v>0</v>
      </c>
      <c r="CX337" s="409">
        <v>0</v>
      </c>
      <c r="CY337" s="409">
        <v>0</v>
      </c>
      <c r="CZ337" s="409">
        <v>61.882313980805748</v>
      </c>
      <c r="DA337" s="409">
        <v>0</v>
      </c>
      <c r="DB337" s="409">
        <v>0</v>
      </c>
      <c r="DC337" s="409">
        <v>157.04136934178314</v>
      </c>
      <c r="DD337" s="409">
        <v>0</v>
      </c>
      <c r="DE337" s="409">
        <v>0</v>
      </c>
      <c r="DF337" s="409">
        <v>0</v>
      </c>
      <c r="DG337" s="409">
        <v>21.305145626034289</v>
      </c>
      <c r="DH337" s="409">
        <v>0</v>
      </c>
      <c r="DI337" s="409">
        <v>0</v>
      </c>
      <c r="DJ337" s="409"/>
      <c r="DK337" s="409">
        <v>0</v>
      </c>
      <c r="DL337" s="409">
        <v>0</v>
      </c>
      <c r="DM337" s="409">
        <v>0</v>
      </c>
      <c r="DN337" s="409">
        <v>0</v>
      </c>
      <c r="DO337" s="409">
        <v>0</v>
      </c>
      <c r="DP337" s="409">
        <v>-1.4244085988466821</v>
      </c>
      <c r="DQ337" s="409">
        <v>0</v>
      </c>
      <c r="DR337" s="409">
        <v>-26.6448001202405</v>
      </c>
      <c r="DS337" s="409"/>
      <c r="DT337" s="409"/>
      <c r="DU337" s="409"/>
      <c r="DV337" s="409">
        <v>5775.39262128477</v>
      </c>
      <c r="DW337" s="409">
        <v>0</v>
      </c>
      <c r="DX337" s="409">
        <v>0</v>
      </c>
      <c r="DY337" s="409">
        <v>-1230.8881500000007</v>
      </c>
      <c r="DZ337" s="409">
        <v>119.15910000000031</v>
      </c>
      <c r="EA337" s="409">
        <v>0</v>
      </c>
      <c r="EB337" s="409">
        <v>0</v>
      </c>
      <c r="EC337" s="409">
        <v>-1323.8557939239372</v>
      </c>
      <c r="ED337" s="409">
        <v>0</v>
      </c>
      <c r="EE337" s="409">
        <v>0</v>
      </c>
      <c r="EF337" s="409">
        <v>0</v>
      </c>
      <c r="EG337" s="409">
        <v>0</v>
      </c>
      <c r="EH337" s="409">
        <v>0</v>
      </c>
      <c r="EI337" s="409">
        <v>0</v>
      </c>
      <c r="EJ337" s="409">
        <v>0</v>
      </c>
      <c r="EK337" s="409">
        <v>0</v>
      </c>
      <c r="EL337" s="409">
        <v>0</v>
      </c>
      <c r="EM337" s="409">
        <v>0</v>
      </c>
      <c r="EN337" s="409">
        <v>0</v>
      </c>
      <c r="EO337" s="409">
        <v>0</v>
      </c>
      <c r="EP337" s="409">
        <v>0</v>
      </c>
      <c r="EQ337" s="409">
        <v>0</v>
      </c>
      <c r="ER337" s="409">
        <v>0</v>
      </c>
      <c r="ES337" s="409">
        <v>0</v>
      </c>
      <c r="ET337" s="409">
        <v>0</v>
      </c>
      <c r="EU337" s="409">
        <v>0</v>
      </c>
      <c r="EV337" s="409">
        <v>254</v>
      </c>
      <c r="EW337" s="409">
        <v>0</v>
      </c>
      <c r="EX337" s="409">
        <v>0</v>
      </c>
      <c r="EY337" s="409">
        <v>0</v>
      </c>
      <c r="EZ337" s="409"/>
      <c r="FA337" s="409">
        <v>0</v>
      </c>
      <c r="FB337" s="409"/>
      <c r="FC337" s="409"/>
      <c r="FD337" s="409"/>
      <c r="FE337" s="409"/>
      <c r="FF337" s="409">
        <v>0</v>
      </c>
      <c r="FG337" s="409">
        <v>0</v>
      </c>
      <c r="FH337" s="409">
        <v>0</v>
      </c>
      <c r="FI337" s="409">
        <v>0</v>
      </c>
    </row>
    <row r="338" spans="1:165">
      <c r="A338" s="409">
        <v>336</v>
      </c>
      <c r="B338" s="409" t="s">
        <v>1035</v>
      </c>
      <c r="C338" s="409" t="s">
        <v>2252</v>
      </c>
      <c r="D338" s="409" t="s">
        <v>1991</v>
      </c>
      <c r="E338" s="409" t="s">
        <v>968</v>
      </c>
      <c r="F338" s="409" t="s">
        <v>968</v>
      </c>
      <c r="G338" s="409" t="s">
        <v>1323</v>
      </c>
      <c r="H338" s="409" t="s">
        <v>1323</v>
      </c>
      <c r="I338" s="409" t="s">
        <v>2237</v>
      </c>
      <c r="J338" s="409" t="s">
        <v>2245</v>
      </c>
      <c r="K338" s="835">
        <v>44652</v>
      </c>
      <c r="L338" s="409">
        <v>0</v>
      </c>
      <c r="M338" s="409">
        <v>0</v>
      </c>
      <c r="N338" s="409">
        <v>0.13200000000000001</v>
      </c>
      <c r="O338" s="409">
        <v>0.13200000000000001</v>
      </c>
      <c r="P338" s="409">
        <v>0.13200000000000001</v>
      </c>
      <c r="Q338" s="409">
        <v>0.13200000000000001</v>
      </c>
      <c r="R338" s="409"/>
      <c r="S338" s="409">
        <v>386.11</v>
      </c>
      <c r="T338" s="409">
        <v>243.39</v>
      </c>
      <c r="U338" s="409"/>
      <c r="V338" s="409">
        <v>83.093999999999994</v>
      </c>
      <c r="W338" s="409">
        <v>83.093999999999994</v>
      </c>
      <c r="X338" s="409">
        <v>77.341440000000006</v>
      </c>
      <c r="Y338" s="409">
        <v>0</v>
      </c>
      <c r="Z338" s="409">
        <v>3.2846190254060836</v>
      </c>
      <c r="AA338" s="409">
        <v>0</v>
      </c>
      <c r="AB338" s="409">
        <v>0</v>
      </c>
      <c r="AC338" s="409">
        <v>0</v>
      </c>
      <c r="AD338" s="409">
        <v>9.2812518791799974</v>
      </c>
      <c r="AE338" s="409">
        <v>32.475056111855416</v>
      </c>
      <c r="AF338" s="409">
        <v>32.127116313766059</v>
      </c>
      <c r="AG338" s="409">
        <v>0</v>
      </c>
      <c r="AH338" s="409">
        <v>0</v>
      </c>
      <c r="AI338" s="409">
        <v>0</v>
      </c>
      <c r="AJ338" s="409">
        <v>0</v>
      </c>
      <c r="AK338" s="409">
        <v>0</v>
      </c>
      <c r="AL338" s="409">
        <v>1.3409999889545159</v>
      </c>
      <c r="AM338" s="409"/>
      <c r="AN338" s="409">
        <v>0.22662702746075042</v>
      </c>
      <c r="AO338" s="409">
        <v>0</v>
      </c>
      <c r="AP338" s="409">
        <v>0</v>
      </c>
      <c r="AQ338" s="409">
        <v>0</v>
      </c>
      <c r="AR338" s="409">
        <v>0</v>
      </c>
      <c r="AS338" s="409">
        <v>0</v>
      </c>
      <c r="AT338" s="409">
        <v>0</v>
      </c>
      <c r="AU338" s="409">
        <v>0</v>
      </c>
      <c r="AV338" s="409">
        <v>0</v>
      </c>
      <c r="AW338" s="409">
        <v>0</v>
      </c>
      <c r="AX338" s="409">
        <v>0</v>
      </c>
      <c r="AY338" s="409">
        <v>0</v>
      </c>
      <c r="AZ338" s="409">
        <v>0</v>
      </c>
      <c r="BA338" s="409"/>
      <c r="BB338" s="409">
        <v>0</v>
      </c>
      <c r="BC338" s="409">
        <v>0</v>
      </c>
      <c r="BD338" s="409">
        <v>0</v>
      </c>
      <c r="BE338" s="409">
        <v>0</v>
      </c>
      <c r="BF338" s="409">
        <v>0</v>
      </c>
      <c r="BG338" s="409">
        <v>4.3585514726356944</v>
      </c>
      <c r="BH338" s="409">
        <v>0</v>
      </c>
      <c r="BI338" s="409">
        <v>0</v>
      </c>
      <c r="BJ338" s="409">
        <v>0</v>
      </c>
      <c r="BK338" s="409">
        <v>0</v>
      </c>
      <c r="BL338" s="409">
        <v>0</v>
      </c>
      <c r="BM338" s="409"/>
      <c r="BN338" s="409"/>
      <c r="BO338" s="409"/>
      <c r="BP338" s="409"/>
      <c r="BQ338" s="409"/>
      <c r="BR338" s="409"/>
      <c r="BS338" s="409"/>
      <c r="BT338" s="409"/>
      <c r="BU338" s="409"/>
      <c r="BV338" s="409">
        <v>36.485667786401756</v>
      </c>
      <c r="BW338" s="409"/>
      <c r="BX338" s="409"/>
      <c r="BY338" s="409"/>
      <c r="BZ338" s="409"/>
      <c r="CA338" s="409"/>
      <c r="CB338" s="409"/>
      <c r="CC338" s="409"/>
      <c r="CD338" s="409"/>
      <c r="CE338" s="409"/>
      <c r="CF338" s="409"/>
      <c r="CG338" s="409"/>
      <c r="CH338" s="409"/>
      <c r="CI338" s="409">
        <v>76.169600000000003</v>
      </c>
      <c r="CJ338" s="409">
        <v>-6.9544000000000068</v>
      </c>
      <c r="CK338" s="409"/>
      <c r="CL338" s="409"/>
      <c r="CM338" s="409"/>
      <c r="CN338" s="409"/>
      <c r="CO338" s="409">
        <v>-6.8692800000000034</v>
      </c>
      <c r="CP338" s="409">
        <v>1.116720000000001</v>
      </c>
      <c r="CQ338" s="409">
        <v>30</v>
      </c>
      <c r="CR338" s="409">
        <v>1.6920639062743206</v>
      </c>
      <c r="CS338" s="409">
        <v>0</v>
      </c>
      <c r="CT338" s="409">
        <v>0</v>
      </c>
      <c r="CU338" s="409">
        <v>0</v>
      </c>
      <c r="CV338" s="409">
        <v>0</v>
      </c>
      <c r="CW338" s="409">
        <v>0</v>
      </c>
      <c r="CX338" s="409">
        <v>0</v>
      </c>
      <c r="CY338" s="409">
        <v>0</v>
      </c>
      <c r="CZ338" s="409">
        <v>0.34795987097495029</v>
      </c>
      <c r="DA338" s="409">
        <v>0</v>
      </c>
      <c r="DB338" s="409">
        <v>0</v>
      </c>
      <c r="DC338" s="409">
        <v>1.4717402025640993</v>
      </c>
      <c r="DD338" s="409">
        <v>0</v>
      </c>
      <c r="DE338" s="409">
        <v>0</v>
      </c>
      <c r="DF338" s="409">
        <v>0</v>
      </c>
      <c r="DG338" s="409">
        <v>0.19966483653791478</v>
      </c>
      <c r="DH338" s="409">
        <v>0</v>
      </c>
      <c r="DI338" s="409">
        <v>-2.395433476929254E-2</v>
      </c>
      <c r="DJ338" s="409"/>
      <c r="DK338" s="409">
        <v>0</v>
      </c>
      <c r="DL338" s="409">
        <v>0</v>
      </c>
      <c r="DM338" s="409">
        <v>0</v>
      </c>
      <c r="DN338" s="409">
        <v>0</v>
      </c>
      <c r="DO338" s="409">
        <v>-7.5216048612143371E-3</v>
      </c>
      <c r="DP338" s="409">
        <v>-1.3349090170235167E-2</v>
      </c>
      <c r="DQ338" s="409">
        <v>0</v>
      </c>
      <c r="DR338" s="409">
        <v>-0.28247597400191349</v>
      </c>
      <c r="DS338" s="409"/>
      <c r="DT338" s="409"/>
      <c r="DU338" s="409"/>
      <c r="DV338" s="409">
        <v>32.475056111855416</v>
      </c>
      <c r="DW338" s="409">
        <v>0</v>
      </c>
      <c r="DX338" s="409">
        <v>0</v>
      </c>
      <c r="DY338" s="409">
        <v>-6.8692800000000034</v>
      </c>
      <c r="DZ338" s="409">
        <v>1.1167200000000008</v>
      </c>
      <c r="EA338" s="409">
        <v>0</v>
      </c>
      <c r="EB338" s="409">
        <v>0</v>
      </c>
      <c r="EC338" s="409">
        <v>-7.4440464936080772</v>
      </c>
      <c r="ED338" s="409">
        <v>0</v>
      </c>
      <c r="EE338" s="409">
        <v>0</v>
      </c>
      <c r="EF338" s="409">
        <v>0</v>
      </c>
      <c r="EG338" s="409">
        <v>0</v>
      </c>
      <c r="EH338" s="409">
        <v>0</v>
      </c>
      <c r="EI338" s="409">
        <v>0</v>
      </c>
      <c r="EJ338" s="409">
        <v>0</v>
      </c>
      <c r="EK338" s="409">
        <v>0</v>
      </c>
      <c r="EL338" s="409">
        <v>0</v>
      </c>
      <c r="EM338" s="409">
        <v>0</v>
      </c>
      <c r="EN338" s="409">
        <v>0</v>
      </c>
      <c r="EO338" s="409">
        <v>0</v>
      </c>
      <c r="EP338" s="409">
        <v>0</v>
      </c>
      <c r="EQ338" s="409">
        <v>0</v>
      </c>
      <c r="ER338" s="409">
        <v>0</v>
      </c>
      <c r="ES338" s="409">
        <v>0</v>
      </c>
      <c r="ET338" s="409">
        <v>0</v>
      </c>
      <c r="EU338" s="409">
        <v>0</v>
      </c>
      <c r="EV338" s="409">
        <v>254</v>
      </c>
      <c r="EW338" s="409">
        <v>0</v>
      </c>
      <c r="EX338" s="409">
        <v>0</v>
      </c>
      <c r="EY338" s="409">
        <v>0</v>
      </c>
      <c r="EZ338" s="409"/>
      <c r="FA338" s="409">
        <v>0</v>
      </c>
      <c r="FB338" s="409"/>
      <c r="FC338" s="409"/>
      <c r="FD338" s="409"/>
      <c r="FE338" s="409"/>
      <c r="FF338" s="409">
        <v>0</v>
      </c>
      <c r="FG338" s="409">
        <v>0</v>
      </c>
      <c r="FH338" s="409">
        <v>0</v>
      </c>
      <c r="FI338" s="409">
        <v>0</v>
      </c>
    </row>
    <row r="339" spans="1:165">
      <c r="A339" s="409">
        <v>337</v>
      </c>
      <c r="B339" s="409" t="s">
        <v>1035</v>
      </c>
      <c r="C339" s="409" t="s">
        <v>2252</v>
      </c>
      <c r="D339" s="409" t="s">
        <v>1991</v>
      </c>
      <c r="E339" s="409" t="s">
        <v>968</v>
      </c>
      <c r="F339" s="409" t="s">
        <v>968</v>
      </c>
      <c r="G339" s="409" t="s">
        <v>1323</v>
      </c>
      <c r="H339" s="409" t="s">
        <v>1323</v>
      </c>
      <c r="I339" s="409" t="s">
        <v>1323</v>
      </c>
      <c r="J339" s="409" t="s">
        <v>2245</v>
      </c>
      <c r="K339" s="835">
        <v>44652</v>
      </c>
      <c r="L339" s="409">
        <v>0</v>
      </c>
      <c r="M339" s="409">
        <v>0</v>
      </c>
      <c r="N339" s="409">
        <v>0</v>
      </c>
      <c r="O339" s="409">
        <v>0</v>
      </c>
      <c r="P339" s="409">
        <v>0</v>
      </c>
      <c r="Q339" s="409">
        <v>0</v>
      </c>
      <c r="R339" s="409"/>
      <c r="S339" s="409"/>
      <c r="T339" s="409"/>
      <c r="U339" s="409"/>
      <c r="V339" s="409"/>
      <c r="W339" s="409"/>
      <c r="X339" s="409"/>
      <c r="Y339" s="409"/>
      <c r="Z339" s="409"/>
      <c r="AA339" s="409">
        <v>0</v>
      </c>
      <c r="AB339" s="409"/>
      <c r="AC339" s="409"/>
      <c r="AD339" s="409"/>
      <c r="AE339" s="409"/>
      <c r="AF339" s="409"/>
      <c r="AG339" s="409"/>
      <c r="AH339" s="409"/>
      <c r="AI339" s="409"/>
      <c r="AJ339" s="409"/>
      <c r="AK339" s="409"/>
      <c r="AL339" s="409"/>
      <c r="AM339" s="409"/>
      <c r="AN339" s="409"/>
      <c r="AO339" s="409"/>
      <c r="AP339" s="409"/>
      <c r="AQ339" s="409"/>
      <c r="AR339" s="409"/>
      <c r="AS339" s="409"/>
      <c r="AT339" s="409"/>
      <c r="AU339" s="409"/>
      <c r="AV339" s="409"/>
      <c r="AW339" s="409"/>
      <c r="AX339" s="409"/>
      <c r="AY339" s="409"/>
      <c r="AZ339" s="409">
        <v>0</v>
      </c>
      <c r="BA339" s="409"/>
      <c r="BB339" s="409"/>
      <c r="BC339" s="409"/>
      <c r="BD339" s="409"/>
      <c r="BE339" s="409"/>
      <c r="BF339" s="409"/>
      <c r="BG339" s="409"/>
      <c r="BH339" s="409"/>
      <c r="BI339" s="409">
        <v>0</v>
      </c>
      <c r="BJ339" s="409">
        <v>0</v>
      </c>
      <c r="BK339" s="409">
        <v>0</v>
      </c>
      <c r="BL339" s="409">
        <v>1</v>
      </c>
      <c r="BM339" s="409"/>
      <c r="BN339" s="409"/>
      <c r="BO339" s="409"/>
      <c r="BP339" s="409"/>
      <c r="BQ339" s="409"/>
      <c r="BR339" s="409"/>
      <c r="BS339" s="409"/>
      <c r="BT339" s="409"/>
      <c r="BU339" s="409"/>
      <c r="BV339" s="409"/>
      <c r="BW339" s="409"/>
      <c r="BX339" s="409"/>
      <c r="BY339" s="409"/>
      <c r="BZ339" s="409"/>
      <c r="CA339" s="409"/>
      <c r="CB339" s="409"/>
      <c r="CC339" s="409"/>
      <c r="CD339" s="409"/>
      <c r="CE339" s="409"/>
      <c r="CF339" s="409"/>
      <c r="CG339" s="409"/>
      <c r="CH339" s="409"/>
      <c r="CI339" s="409"/>
      <c r="CJ339" s="409">
        <v>-0.03</v>
      </c>
      <c r="CK339" s="409"/>
      <c r="CL339" s="409"/>
      <c r="CM339" s="409"/>
      <c r="CN339" s="409"/>
      <c r="CO339" s="409">
        <v>0</v>
      </c>
      <c r="CP339" s="409">
        <v>0</v>
      </c>
      <c r="CQ339" s="409">
        <v>30</v>
      </c>
      <c r="CR339" s="409"/>
      <c r="CS339" s="409"/>
      <c r="CT339" s="409"/>
      <c r="CU339" s="409"/>
      <c r="CV339" s="409"/>
      <c r="CW339" s="409"/>
      <c r="CX339" s="409"/>
      <c r="CY339" s="409"/>
      <c r="CZ339" s="409"/>
      <c r="DA339" s="409"/>
      <c r="DB339" s="409"/>
      <c r="DC339" s="409"/>
      <c r="DD339" s="409"/>
      <c r="DE339" s="409"/>
      <c r="DF339" s="409"/>
      <c r="DG339" s="409"/>
      <c r="DH339" s="409"/>
      <c r="DI339" s="409"/>
      <c r="DJ339" s="409"/>
      <c r="DK339" s="409">
        <v>0</v>
      </c>
      <c r="DL339" s="409"/>
      <c r="DM339" s="409"/>
      <c r="DN339" s="409"/>
      <c r="DO339" s="409"/>
      <c r="DP339" s="409"/>
      <c r="DQ339" s="409"/>
      <c r="DR339" s="409"/>
      <c r="DS339" s="409"/>
      <c r="DT339" s="409"/>
      <c r="DU339" s="409"/>
      <c r="DV339" s="409"/>
      <c r="DW339" s="409"/>
      <c r="DX339" s="409"/>
      <c r="DY339" s="409"/>
      <c r="DZ339" s="409"/>
      <c r="EA339" s="409"/>
      <c r="EB339" s="409"/>
      <c r="EC339" s="409"/>
      <c r="ED339" s="409"/>
      <c r="EE339" s="409"/>
      <c r="EF339" s="409"/>
      <c r="EG339" s="409"/>
      <c r="EH339" s="409"/>
      <c r="EI339" s="409"/>
      <c r="EJ339" s="409"/>
      <c r="EK339" s="409"/>
      <c r="EL339" s="409"/>
      <c r="EM339" s="409"/>
      <c r="EN339" s="409"/>
      <c r="EO339" s="409"/>
      <c r="EP339" s="409"/>
      <c r="EQ339" s="409"/>
      <c r="ER339" s="409"/>
      <c r="ES339" s="409"/>
      <c r="ET339" s="409"/>
      <c r="EU339" s="409"/>
      <c r="EV339" s="409">
        <v>254</v>
      </c>
      <c r="EW339" s="409"/>
      <c r="EX339" s="409"/>
      <c r="EY339" s="409"/>
      <c r="EZ339" s="409"/>
      <c r="FA339" s="409">
        <v>0</v>
      </c>
      <c r="FB339" s="409"/>
      <c r="FC339" s="409"/>
      <c r="FD339" s="409"/>
      <c r="FE339" s="409"/>
      <c r="FF339" s="409">
        <v>0</v>
      </c>
      <c r="FG339" s="409">
        <v>0</v>
      </c>
      <c r="FH339" s="409">
        <v>0</v>
      </c>
      <c r="FI339" s="409">
        <v>0</v>
      </c>
    </row>
    <row r="340" spans="1:165">
      <c r="A340" s="409">
        <v>338</v>
      </c>
      <c r="B340" s="409" t="s">
        <v>1035</v>
      </c>
      <c r="C340" s="409" t="s">
        <v>2244</v>
      </c>
      <c r="D340" s="409" t="s">
        <v>1994</v>
      </c>
      <c r="E340" s="409" t="s">
        <v>969</v>
      </c>
      <c r="F340" s="409" t="s">
        <v>1323</v>
      </c>
      <c r="G340" s="409" t="s">
        <v>1323</v>
      </c>
      <c r="H340" s="409" t="s">
        <v>1323</v>
      </c>
      <c r="I340" s="409" t="s">
        <v>1323</v>
      </c>
      <c r="J340" s="409" t="s">
        <v>2245</v>
      </c>
      <c r="K340" s="835">
        <v>44652</v>
      </c>
      <c r="L340" s="409">
        <v>0</v>
      </c>
      <c r="M340" s="409">
        <v>0</v>
      </c>
      <c r="N340" s="409">
        <v>1.321</v>
      </c>
      <c r="O340" s="409">
        <v>1.321</v>
      </c>
      <c r="P340" s="409">
        <v>1.321</v>
      </c>
      <c r="Q340" s="409">
        <v>1.321</v>
      </c>
      <c r="R340" s="409"/>
      <c r="S340" s="409">
        <v>597.01</v>
      </c>
      <c r="T340" s="409">
        <v>243.39</v>
      </c>
      <c r="U340" s="409"/>
      <c r="V340" s="409">
        <v>1110.1684</v>
      </c>
      <c r="W340" s="409">
        <v>1110.1684</v>
      </c>
      <c r="X340" s="409">
        <v>1005.65088</v>
      </c>
      <c r="Y340" s="409">
        <v>0</v>
      </c>
      <c r="Z340" s="409">
        <v>32.871073731526032</v>
      </c>
      <c r="AA340" s="409">
        <v>0</v>
      </c>
      <c r="AB340" s="409">
        <v>0</v>
      </c>
      <c r="AC340" s="409">
        <v>0</v>
      </c>
      <c r="AD340" s="409">
        <v>154.80675567053788</v>
      </c>
      <c r="AE340" s="409">
        <v>541.6608912117274</v>
      </c>
      <c r="AF340" s="409">
        <v>321.51455038246178</v>
      </c>
      <c r="AG340" s="409">
        <v>0</v>
      </c>
      <c r="AH340" s="409">
        <v>0</v>
      </c>
      <c r="AI340" s="409">
        <v>0</v>
      </c>
      <c r="AJ340" s="409">
        <v>0</v>
      </c>
      <c r="AK340" s="409">
        <v>0</v>
      </c>
      <c r="AL340" s="409">
        <v>13.420158980370571</v>
      </c>
      <c r="AM340" s="409"/>
      <c r="AN340" s="409">
        <v>2.2679871460276613</v>
      </c>
      <c r="AO340" s="409">
        <v>0</v>
      </c>
      <c r="AP340" s="409">
        <v>0</v>
      </c>
      <c r="AQ340" s="409">
        <v>0</v>
      </c>
      <c r="AR340" s="409">
        <v>0</v>
      </c>
      <c r="AS340" s="409">
        <v>0</v>
      </c>
      <c r="AT340" s="409">
        <v>0</v>
      </c>
      <c r="AU340" s="409">
        <v>0</v>
      </c>
      <c r="AV340" s="409">
        <v>0</v>
      </c>
      <c r="AW340" s="409">
        <v>0</v>
      </c>
      <c r="AX340" s="409">
        <v>0</v>
      </c>
      <c r="AY340" s="409">
        <v>0</v>
      </c>
      <c r="AZ340" s="409">
        <v>0</v>
      </c>
      <c r="BA340" s="409"/>
      <c r="BB340" s="409">
        <v>0</v>
      </c>
      <c r="BC340" s="409">
        <v>0</v>
      </c>
      <c r="BD340" s="409">
        <v>0</v>
      </c>
      <c r="BE340" s="409">
        <v>0</v>
      </c>
      <c r="BF340" s="409">
        <v>0</v>
      </c>
      <c r="BG340" s="409">
        <v>43.618534055695086</v>
      </c>
      <c r="BH340" s="409">
        <v>0</v>
      </c>
      <c r="BI340" s="409">
        <v>0</v>
      </c>
      <c r="BJ340" s="409">
        <v>0</v>
      </c>
      <c r="BK340" s="409">
        <v>0</v>
      </c>
      <c r="BL340" s="409">
        <v>4</v>
      </c>
      <c r="BM340" s="409"/>
      <c r="BN340" s="409"/>
      <c r="BO340" s="409"/>
      <c r="BP340" s="409"/>
      <c r="BQ340" s="409"/>
      <c r="BR340" s="409"/>
      <c r="BS340" s="409"/>
      <c r="BT340" s="409"/>
      <c r="BU340" s="409"/>
      <c r="BV340" s="409">
        <v>365.13308443815686</v>
      </c>
      <c r="BW340" s="409"/>
      <c r="BX340" s="409"/>
      <c r="BY340" s="409"/>
      <c r="BZ340" s="409"/>
      <c r="CA340" s="409"/>
      <c r="CB340" s="409"/>
      <c r="CC340" s="409"/>
      <c r="CD340" s="409"/>
      <c r="CE340" s="409"/>
      <c r="CF340" s="409"/>
      <c r="CG340" s="409"/>
      <c r="CH340" s="409"/>
      <c r="CI340" s="409">
        <v>1004.8896000000001</v>
      </c>
      <c r="CJ340" s="409">
        <v>-105.30879999999991</v>
      </c>
      <c r="CK340" s="409"/>
      <c r="CL340" s="409"/>
      <c r="CM340" s="409"/>
      <c r="CN340" s="409"/>
      <c r="CO340" s="409">
        <v>-115.69317999999997</v>
      </c>
      <c r="CP340" s="409">
        <v>11.175660000000009</v>
      </c>
      <c r="CQ340" s="409">
        <v>30</v>
      </c>
      <c r="CR340" s="409">
        <v>19.648320197336261</v>
      </c>
      <c r="CS340" s="409">
        <v>0</v>
      </c>
      <c r="CT340" s="409">
        <v>0</v>
      </c>
      <c r="CU340" s="409">
        <v>0</v>
      </c>
      <c r="CV340" s="409">
        <v>0</v>
      </c>
      <c r="CW340" s="409">
        <v>0</v>
      </c>
      <c r="CX340" s="409">
        <v>0</v>
      </c>
      <c r="CY340" s="409">
        <v>0</v>
      </c>
      <c r="CZ340" s="409">
        <v>5.8038009775395381</v>
      </c>
      <c r="DA340" s="409">
        <v>0</v>
      </c>
      <c r="DB340" s="409">
        <v>0</v>
      </c>
      <c r="DC340" s="409">
        <v>14.728551572630181</v>
      </c>
      <c r="DD340" s="409">
        <v>0</v>
      </c>
      <c r="DE340" s="409">
        <v>0</v>
      </c>
      <c r="DF340" s="409">
        <v>0</v>
      </c>
      <c r="DG340" s="409">
        <v>1.998160977777161</v>
      </c>
      <c r="DH340" s="409">
        <v>0</v>
      </c>
      <c r="DI340" s="409">
        <v>-0.23972481992602468</v>
      </c>
      <c r="DJ340" s="409"/>
      <c r="DK340" s="409">
        <v>0</v>
      </c>
      <c r="DL340" s="409">
        <v>0</v>
      </c>
      <c r="DM340" s="409">
        <v>0</v>
      </c>
      <c r="DN340" s="409">
        <v>0</v>
      </c>
      <c r="DO340" s="409">
        <v>-7.527303046715339E-2</v>
      </c>
      <c r="DP340" s="409">
        <v>-0.13359203117333829</v>
      </c>
      <c r="DQ340" s="409">
        <v>0</v>
      </c>
      <c r="DR340" s="409">
        <v>-2.4336034490441176</v>
      </c>
      <c r="DS340" s="409"/>
      <c r="DT340" s="409"/>
      <c r="DU340" s="409"/>
      <c r="DV340" s="409">
        <v>541.6608912117274</v>
      </c>
      <c r="DW340" s="409">
        <v>0</v>
      </c>
      <c r="DX340" s="409">
        <v>0</v>
      </c>
      <c r="DY340" s="409">
        <v>-115.69317999999998</v>
      </c>
      <c r="DZ340" s="409">
        <v>11.17566000000005</v>
      </c>
      <c r="EA340" s="409">
        <v>0</v>
      </c>
      <c r="EB340" s="409">
        <v>0</v>
      </c>
      <c r="EC340" s="409">
        <v>-124.16141311846081</v>
      </c>
      <c r="ED340" s="409">
        <v>0</v>
      </c>
      <c r="EE340" s="409">
        <v>0</v>
      </c>
      <c r="EF340" s="409">
        <v>0</v>
      </c>
      <c r="EG340" s="409">
        <v>0</v>
      </c>
      <c r="EH340" s="409">
        <v>0</v>
      </c>
      <c r="EI340" s="409">
        <v>0</v>
      </c>
      <c r="EJ340" s="409">
        <v>0</v>
      </c>
      <c r="EK340" s="409">
        <v>0</v>
      </c>
      <c r="EL340" s="409">
        <v>0</v>
      </c>
      <c r="EM340" s="409">
        <v>0</v>
      </c>
      <c r="EN340" s="409">
        <v>0</v>
      </c>
      <c r="EO340" s="409">
        <v>0</v>
      </c>
      <c r="EP340" s="409">
        <v>0</v>
      </c>
      <c r="EQ340" s="409">
        <v>0</v>
      </c>
      <c r="ER340" s="409">
        <v>0</v>
      </c>
      <c r="ES340" s="409">
        <v>0</v>
      </c>
      <c r="ET340" s="409">
        <v>0</v>
      </c>
      <c r="EU340" s="409">
        <v>0</v>
      </c>
      <c r="EV340" s="409">
        <v>254</v>
      </c>
      <c r="EW340" s="409">
        <v>0</v>
      </c>
      <c r="EX340" s="409">
        <v>0</v>
      </c>
      <c r="EY340" s="409">
        <v>0</v>
      </c>
      <c r="EZ340" s="409"/>
      <c r="FA340" s="409">
        <v>0</v>
      </c>
      <c r="FB340" s="409"/>
      <c r="FC340" s="409"/>
      <c r="FD340" s="409"/>
      <c r="FE340" s="409"/>
      <c r="FF340" s="409">
        <v>0</v>
      </c>
      <c r="FG340" s="409">
        <v>0</v>
      </c>
      <c r="FH340" s="409">
        <v>0</v>
      </c>
      <c r="FI340" s="409">
        <v>0</v>
      </c>
    </row>
    <row r="341" spans="1:165">
      <c r="A341" s="409">
        <v>339</v>
      </c>
      <c r="B341" s="409" t="s">
        <v>1035</v>
      </c>
      <c r="C341" s="409" t="s">
        <v>2251</v>
      </c>
      <c r="D341" s="409" t="s">
        <v>596</v>
      </c>
      <c r="E341" s="409" t="s">
        <v>969</v>
      </c>
      <c r="F341" s="409" t="s">
        <v>1323</v>
      </c>
      <c r="G341" s="409" t="s">
        <v>1323</v>
      </c>
      <c r="H341" s="409" t="s">
        <v>1323</v>
      </c>
      <c r="I341" s="409" t="s">
        <v>972</v>
      </c>
      <c r="J341" s="409" t="s">
        <v>2245</v>
      </c>
      <c r="K341" s="835">
        <v>44652</v>
      </c>
      <c r="L341" s="409">
        <v>0</v>
      </c>
      <c r="M341" s="409">
        <v>0</v>
      </c>
      <c r="N341" s="409">
        <v>0.158</v>
      </c>
      <c r="O341" s="409">
        <v>0.158</v>
      </c>
      <c r="P341" s="409">
        <v>0.158</v>
      </c>
      <c r="Q341" s="409">
        <v>0.158</v>
      </c>
      <c r="R341" s="409"/>
      <c r="S341" s="409">
        <v>2773.91</v>
      </c>
      <c r="T341" s="409">
        <v>243.39</v>
      </c>
      <c r="U341" s="409"/>
      <c r="V341" s="409">
        <v>476.73340000000002</v>
      </c>
      <c r="W341" s="409">
        <v>476.73340000000002</v>
      </c>
      <c r="X341" s="409">
        <v>410.38445999999999</v>
      </c>
      <c r="Y341" s="409">
        <v>0</v>
      </c>
      <c r="Z341" s="409">
        <v>3.4204828123660604</v>
      </c>
      <c r="AA341" s="409">
        <v>0</v>
      </c>
      <c r="AB341" s="409">
        <v>0</v>
      </c>
      <c r="AC341" s="409">
        <v>0</v>
      </c>
      <c r="AD341" s="409">
        <v>113.84018804406972</v>
      </c>
      <c r="AE341" s="409">
        <v>316.9078126679687</v>
      </c>
      <c r="AF341" s="409">
        <v>38.455184678598762</v>
      </c>
      <c r="AG341" s="409">
        <v>0</v>
      </c>
      <c r="AH341" s="409">
        <v>0</v>
      </c>
      <c r="AI341" s="409">
        <v>0</v>
      </c>
      <c r="AJ341" s="409">
        <v>0</v>
      </c>
      <c r="AK341" s="409">
        <v>0</v>
      </c>
      <c r="AL341" s="409">
        <v>1.6051363504152538</v>
      </c>
      <c r="AM341" s="409"/>
      <c r="AN341" s="409">
        <v>0.10960120636465519</v>
      </c>
      <c r="AO341" s="409">
        <v>0</v>
      </c>
      <c r="AP341" s="409">
        <v>0</v>
      </c>
      <c r="AQ341" s="409">
        <v>0</v>
      </c>
      <c r="AR341" s="409">
        <v>0</v>
      </c>
      <c r="AS341" s="409">
        <v>0</v>
      </c>
      <c r="AT341" s="409">
        <v>0</v>
      </c>
      <c r="AU341" s="409">
        <v>0</v>
      </c>
      <c r="AV341" s="409">
        <v>0</v>
      </c>
      <c r="AW341" s="409">
        <v>0</v>
      </c>
      <c r="AX341" s="409">
        <v>0</v>
      </c>
      <c r="AY341" s="409">
        <v>0</v>
      </c>
      <c r="AZ341" s="409">
        <v>0</v>
      </c>
      <c r="BA341" s="409"/>
      <c r="BB341" s="409">
        <v>0</v>
      </c>
      <c r="BC341" s="409">
        <v>0</v>
      </c>
      <c r="BD341" s="409">
        <v>0</v>
      </c>
      <c r="BE341" s="409">
        <v>0</v>
      </c>
      <c r="BF341" s="409">
        <v>0</v>
      </c>
      <c r="BG341" s="409">
        <v>2.3951423711194564</v>
      </c>
      <c r="BH341" s="409">
        <v>0</v>
      </c>
      <c r="BI341" s="409">
        <v>0</v>
      </c>
      <c r="BJ341" s="409">
        <v>0</v>
      </c>
      <c r="BK341" s="409">
        <v>0</v>
      </c>
      <c r="BL341" s="409">
        <v>0</v>
      </c>
      <c r="BM341" s="409"/>
      <c r="BN341" s="409"/>
      <c r="BO341" s="409"/>
      <c r="BP341" s="409"/>
      <c r="BQ341" s="409"/>
      <c r="BR341" s="409"/>
      <c r="BS341" s="409"/>
      <c r="BT341" s="409"/>
      <c r="BU341" s="409"/>
      <c r="BV341" s="409">
        <v>40.850327049718217</v>
      </c>
      <c r="BW341" s="409"/>
      <c r="BX341" s="409"/>
      <c r="BY341" s="409"/>
      <c r="BZ341" s="409"/>
      <c r="CA341" s="409"/>
      <c r="CB341" s="409"/>
      <c r="CC341" s="409"/>
      <c r="CD341" s="409"/>
      <c r="CE341" s="409"/>
      <c r="CF341" s="409"/>
      <c r="CG341" s="409"/>
      <c r="CH341" s="409"/>
      <c r="CI341" s="409">
        <v>415.57920000000001</v>
      </c>
      <c r="CJ341" s="409">
        <v>-61.184199999999976</v>
      </c>
      <c r="CK341" s="409"/>
      <c r="CL341" s="409"/>
      <c r="CM341" s="409"/>
      <c r="CN341" s="409"/>
      <c r="CO341" s="409">
        <v>-67.685619999999986</v>
      </c>
      <c r="CP341" s="409">
        <v>1.3366800000000012</v>
      </c>
      <c r="CQ341" s="409">
        <v>30</v>
      </c>
      <c r="CR341" s="409">
        <v>6.2933825688597551</v>
      </c>
      <c r="CS341" s="409">
        <v>0</v>
      </c>
      <c r="CT341" s="409">
        <v>0</v>
      </c>
      <c r="CU341" s="409">
        <v>0</v>
      </c>
      <c r="CV341" s="409">
        <v>0</v>
      </c>
      <c r="CW341" s="409">
        <v>0</v>
      </c>
      <c r="CX341" s="409">
        <v>0</v>
      </c>
      <c r="CY341" s="409">
        <v>0</v>
      </c>
      <c r="CZ341" s="409">
        <v>4.2679390301255893</v>
      </c>
      <c r="DA341" s="409">
        <v>0</v>
      </c>
      <c r="DB341" s="409">
        <v>0</v>
      </c>
      <c r="DC341" s="409">
        <v>1.7616284242812768</v>
      </c>
      <c r="DD341" s="409">
        <v>0</v>
      </c>
      <c r="DE341" s="409">
        <v>0</v>
      </c>
      <c r="DF341" s="409">
        <v>0</v>
      </c>
      <c r="DG341" s="409">
        <v>0.10972124868023547</v>
      </c>
      <c r="DH341" s="409">
        <v>0</v>
      </c>
      <c r="DI341" s="409">
        <v>-2.4945173162020939E-2</v>
      </c>
      <c r="DJ341" s="409"/>
      <c r="DK341" s="409">
        <v>0</v>
      </c>
      <c r="DL341" s="409">
        <v>0</v>
      </c>
      <c r="DM341" s="409">
        <v>0</v>
      </c>
      <c r="DN341" s="409">
        <v>0</v>
      </c>
      <c r="DO341" s="409">
        <v>-9.0031330914535079E-3</v>
      </c>
      <c r="DP341" s="409">
        <v>-6.4558777605718265E-3</v>
      </c>
      <c r="DQ341" s="409">
        <v>0</v>
      </c>
      <c r="DR341" s="409">
        <v>0.19449804978670532</v>
      </c>
      <c r="DS341" s="409"/>
      <c r="DT341" s="409"/>
      <c r="DU341" s="409"/>
      <c r="DV341" s="409">
        <v>316.9078126679687</v>
      </c>
      <c r="DW341" s="409">
        <v>0</v>
      </c>
      <c r="DX341" s="409">
        <v>0</v>
      </c>
      <c r="DY341" s="409">
        <v>-67.685620000000029</v>
      </c>
      <c r="DZ341" s="409">
        <v>1.3366800000000012</v>
      </c>
      <c r="EA341" s="409">
        <v>0</v>
      </c>
      <c r="EB341" s="409">
        <v>0</v>
      </c>
      <c r="EC341" s="409">
        <v>-72.642722573364779</v>
      </c>
      <c r="ED341" s="409">
        <v>0</v>
      </c>
      <c r="EE341" s="409">
        <v>0</v>
      </c>
      <c r="EF341" s="409">
        <v>0</v>
      </c>
      <c r="EG341" s="409">
        <v>0</v>
      </c>
      <c r="EH341" s="409">
        <v>0</v>
      </c>
      <c r="EI341" s="409">
        <v>0</v>
      </c>
      <c r="EJ341" s="409">
        <v>0</v>
      </c>
      <c r="EK341" s="409">
        <v>0</v>
      </c>
      <c r="EL341" s="409">
        <v>0</v>
      </c>
      <c r="EM341" s="409">
        <v>0</v>
      </c>
      <c r="EN341" s="409">
        <v>0</v>
      </c>
      <c r="EO341" s="409">
        <v>0</v>
      </c>
      <c r="EP341" s="409">
        <v>0</v>
      </c>
      <c r="EQ341" s="409">
        <v>0</v>
      </c>
      <c r="ER341" s="409">
        <v>0</v>
      </c>
      <c r="ES341" s="409">
        <v>0</v>
      </c>
      <c r="ET341" s="409">
        <v>0</v>
      </c>
      <c r="EU341" s="409">
        <v>0</v>
      </c>
      <c r="EV341" s="409">
        <v>254</v>
      </c>
      <c r="EW341" s="409">
        <v>0</v>
      </c>
      <c r="EX341" s="409">
        <v>0</v>
      </c>
      <c r="EY341" s="409">
        <v>0</v>
      </c>
      <c r="EZ341" s="409"/>
      <c r="FA341" s="409">
        <v>0</v>
      </c>
      <c r="FB341" s="409"/>
      <c r="FC341" s="409"/>
      <c r="FD341" s="409"/>
      <c r="FE341" s="409"/>
      <c r="FF341" s="409">
        <v>0</v>
      </c>
      <c r="FG341" s="409">
        <v>0</v>
      </c>
      <c r="FH341" s="409">
        <v>0</v>
      </c>
      <c r="FI341" s="409">
        <v>0</v>
      </c>
    </row>
    <row r="342" spans="1:165">
      <c r="A342" s="409">
        <v>340</v>
      </c>
      <c r="B342" s="409" t="s">
        <v>1035</v>
      </c>
      <c r="C342" s="409" t="s">
        <v>2251</v>
      </c>
      <c r="D342" s="409" t="s">
        <v>596</v>
      </c>
      <c r="E342" s="409" t="s">
        <v>969</v>
      </c>
      <c r="F342" s="409" t="s">
        <v>1323</v>
      </c>
      <c r="G342" s="409" t="s">
        <v>1323</v>
      </c>
      <c r="H342" s="409" t="s">
        <v>1323</v>
      </c>
      <c r="I342" s="409" t="s">
        <v>2237</v>
      </c>
      <c r="J342" s="409" t="s">
        <v>2245</v>
      </c>
      <c r="K342" s="835">
        <v>44652</v>
      </c>
      <c r="L342" s="409">
        <v>0</v>
      </c>
      <c r="M342" s="409">
        <v>0</v>
      </c>
      <c r="N342" s="409">
        <v>25.942</v>
      </c>
      <c r="O342" s="409">
        <v>25.942</v>
      </c>
      <c r="P342" s="409">
        <v>25.942</v>
      </c>
      <c r="Q342" s="409">
        <v>25.942</v>
      </c>
      <c r="R342" s="409"/>
      <c r="S342" s="409">
        <v>47.66</v>
      </c>
      <c r="T342" s="409">
        <v>243.39</v>
      </c>
      <c r="U342" s="409"/>
      <c r="V342" s="409">
        <v>7550.4190999999992</v>
      </c>
      <c r="W342" s="409">
        <v>7550.4190999999992</v>
      </c>
      <c r="X342" s="409">
        <v>7783.1188400000001</v>
      </c>
      <c r="Y342" s="409">
        <v>0</v>
      </c>
      <c r="Z342" s="409">
        <v>561.60863998987554</v>
      </c>
      <c r="AA342" s="409">
        <v>0</v>
      </c>
      <c r="AB342" s="409">
        <v>0</v>
      </c>
      <c r="AC342" s="409">
        <v>0</v>
      </c>
      <c r="AD342" s="409">
        <v>0</v>
      </c>
      <c r="AE342" s="409">
        <v>0</v>
      </c>
      <c r="AF342" s="409">
        <v>6313.9519046342348</v>
      </c>
      <c r="AG342" s="409">
        <v>0</v>
      </c>
      <c r="AH342" s="409">
        <v>0</v>
      </c>
      <c r="AI342" s="409">
        <v>0</v>
      </c>
      <c r="AJ342" s="409">
        <v>0</v>
      </c>
      <c r="AK342" s="409">
        <v>0</v>
      </c>
      <c r="AL342" s="409">
        <v>263.54713419286401</v>
      </c>
      <c r="AM342" s="409"/>
      <c r="AN342" s="409">
        <v>17.995408199442309</v>
      </c>
      <c r="AO342" s="409">
        <v>0</v>
      </c>
      <c r="AP342" s="409">
        <v>0</v>
      </c>
      <c r="AQ342" s="409">
        <v>0</v>
      </c>
      <c r="AR342" s="409">
        <v>0</v>
      </c>
      <c r="AS342" s="409">
        <v>0</v>
      </c>
      <c r="AT342" s="409">
        <v>0</v>
      </c>
      <c r="AU342" s="409">
        <v>0</v>
      </c>
      <c r="AV342" s="409">
        <v>0</v>
      </c>
      <c r="AW342" s="409">
        <v>0</v>
      </c>
      <c r="AX342" s="409">
        <v>0</v>
      </c>
      <c r="AY342" s="409">
        <v>0</v>
      </c>
      <c r="AZ342" s="409">
        <v>0</v>
      </c>
      <c r="BA342" s="409"/>
      <c r="BB342" s="409">
        <v>0</v>
      </c>
      <c r="BC342" s="409">
        <v>0</v>
      </c>
      <c r="BD342" s="409">
        <v>0</v>
      </c>
      <c r="BE342" s="409">
        <v>0</v>
      </c>
      <c r="BF342" s="409">
        <v>0</v>
      </c>
      <c r="BG342" s="409">
        <v>393.25812273152496</v>
      </c>
      <c r="BH342" s="409">
        <v>0</v>
      </c>
      <c r="BI342" s="409">
        <v>0</v>
      </c>
      <c r="BJ342" s="409">
        <v>0</v>
      </c>
      <c r="BK342" s="409">
        <v>0</v>
      </c>
      <c r="BL342" s="409">
        <v>0</v>
      </c>
      <c r="BM342" s="409"/>
      <c r="BN342" s="409"/>
      <c r="BO342" s="409"/>
      <c r="BP342" s="409"/>
      <c r="BQ342" s="409"/>
      <c r="BR342" s="409"/>
      <c r="BS342" s="409"/>
      <c r="BT342" s="409"/>
      <c r="BU342" s="409"/>
      <c r="BV342" s="409">
        <v>6707.2100273657597</v>
      </c>
      <c r="BW342" s="409"/>
      <c r="BX342" s="409"/>
      <c r="BY342" s="409"/>
      <c r="BZ342" s="409"/>
      <c r="CA342" s="409"/>
      <c r="CB342" s="409"/>
      <c r="CC342" s="409"/>
      <c r="CD342" s="409"/>
      <c r="CE342" s="409"/>
      <c r="CF342" s="409"/>
      <c r="CG342" s="409"/>
      <c r="CH342" s="409"/>
      <c r="CI342" s="409">
        <v>7782.5188000000007</v>
      </c>
      <c r="CJ342" s="409">
        <v>232.06970000000092</v>
      </c>
      <c r="CK342" s="409"/>
      <c r="CL342" s="409"/>
      <c r="CM342" s="409"/>
      <c r="CN342" s="409"/>
      <c r="CO342" s="409">
        <v>13.230420000000132</v>
      </c>
      <c r="CP342" s="409">
        <v>219.46932000000021</v>
      </c>
      <c r="CQ342" s="409">
        <v>30</v>
      </c>
      <c r="CR342" s="409">
        <v>232.71223361960801</v>
      </c>
      <c r="CS342" s="409">
        <v>0</v>
      </c>
      <c r="CT342" s="409">
        <v>0</v>
      </c>
      <c r="CU342" s="409">
        <v>0</v>
      </c>
      <c r="CV342" s="409">
        <v>0</v>
      </c>
      <c r="CW342" s="409">
        <v>0</v>
      </c>
      <c r="CX342" s="409">
        <v>0</v>
      </c>
      <c r="CY342" s="409">
        <v>0</v>
      </c>
      <c r="CZ342" s="409">
        <v>0</v>
      </c>
      <c r="DA342" s="409">
        <v>0</v>
      </c>
      <c r="DB342" s="409">
        <v>0</v>
      </c>
      <c r="DC342" s="409">
        <v>289.24154799180269</v>
      </c>
      <c r="DD342" s="409">
        <v>0</v>
      </c>
      <c r="DE342" s="409">
        <v>0</v>
      </c>
      <c r="DF342" s="409">
        <v>0</v>
      </c>
      <c r="DG342" s="409">
        <v>18.015117932042131</v>
      </c>
      <c r="DH342" s="409">
        <v>0</v>
      </c>
      <c r="DI342" s="409">
        <v>-4.0957448238552843</v>
      </c>
      <c r="DJ342" s="409"/>
      <c r="DK342" s="409">
        <v>0</v>
      </c>
      <c r="DL342" s="409">
        <v>0</v>
      </c>
      <c r="DM342" s="409">
        <v>0</v>
      </c>
      <c r="DN342" s="409">
        <v>0</v>
      </c>
      <c r="DO342" s="409">
        <v>-1.4782232826486279</v>
      </c>
      <c r="DP342" s="409">
        <v>-1.0599897523085708</v>
      </c>
      <c r="DQ342" s="409">
        <v>0</v>
      </c>
      <c r="DR342" s="409">
        <v>-67.910474445423546</v>
      </c>
      <c r="DS342" s="409"/>
      <c r="DT342" s="409"/>
      <c r="DU342" s="409"/>
      <c r="DV342" s="409">
        <v>0</v>
      </c>
      <c r="DW342" s="409">
        <v>0</v>
      </c>
      <c r="DX342" s="409">
        <v>0</v>
      </c>
      <c r="DY342" s="409">
        <v>13.230420000000095</v>
      </c>
      <c r="DZ342" s="409">
        <v>219.46932000000015</v>
      </c>
      <c r="EA342" s="409">
        <v>0</v>
      </c>
      <c r="EB342" s="409">
        <v>0</v>
      </c>
      <c r="EC342" s="409">
        <v>0</v>
      </c>
      <c r="ED342" s="409">
        <v>0</v>
      </c>
      <c r="EE342" s="409">
        <v>0</v>
      </c>
      <c r="EF342" s="409">
        <v>0</v>
      </c>
      <c r="EG342" s="409">
        <v>0</v>
      </c>
      <c r="EH342" s="409">
        <v>0</v>
      </c>
      <c r="EI342" s="409">
        <v>0</v>
      </c>
      <c r="EJ342" s="409">
        <v>0</v>
      </c>
      <c r="EK342" s="409">
        <v>0</v>
      </c>
      <c r="EL342" s="409">
        <v>0</v>
      </c>
      <c r="EM342" s="409">
        <v>0</v>
      </c>
      <c r="EN342" s="409">
        <v>0</v>
      </c>
      <c r="EO342" s="409">
        <v>0</v>
      </c>
      <c r="EP342" s="409">
        <v>0</v>
      </c>
      <c r="EQ342" s="409">
        <v>0</v>
      </c>
      <c r="ER342" s="409">
        <v>0</v>
      </c>
      <c r="ES342" s="409">
        <v>0</v>
      </c>
      <c r="ET342" s="409">
        <v>0</v>
      </c>
      <c r="EU342" s="409">
        <v>0</v>
      </c>
      <c r="EV342" s="409">
        <v>254</v>
      </c>
      <c r="EW342" s="409">
        <v>0</v>
      </c>
      <c r="EX342" s="409">
        <v>0</v>
      </c>
      <c r="EY342" s="409">
        <v>0</v>
      </c>
      <c r="EZ342" s="409"/>
      <c r="FA342" s="409">
        <v>0</v>
      </c>
      <c r="FB342" s="409"/>
      <c r="FC342" s="409"/>
      <c r="FD342" s="409"/>
      <c r="FE342" s="409"/>
      <c r="FF342" s="409">
        <v>0</v>
      </c>
      <c r="FG342" s="409">
        <v>0</v>
      </c>
      <c r="FH342" s="409">
        <v>0</v>
      </c>
      <c r="FI342" s="409">
        <v>0</v>
      </c>
    </row>
    <row r="343" spans="1:165">
      <c r="A343" s="409">
        <v>341</v>
      </c>
      <c r="B343" s="409" t="s">
        <v>1035</v>
      </c>
      <c r="C343" s="409" t="s">
        <v>2251</v>
      </c>
      <c r="D343" s="409" t="s">
        <v>596</v>
      </c>
      <c r="E343" s="409" t="s">
        <v>969</v>
      </c>
      <c r="F343" s="409" t="s">
        <v>1323</v>
      </c>
      <c r="G343" s="409" t="s">
        <v>1323</v>
      </c>
      <c r="H343" s="409" t="s">
        <v>1323</v>
      </c>
      <c r="I343" s="409" t="s">
        <v>1323</v>
      </c>
      <c r="J343" s="409" t="s">
        <v>2245</v>
      </c>
      <c r="K343" s="835">
        <v>44652</v>
      </c>
      <c r="L343" s="409">
        <v>120</v>
      </c>
      <c r="M343" s="409">
        <v>120</v>
      </c>
      <c r="N343" s="409">
        <v>0</v>
      </c>
      <c r="O343" s="409">
        <v>0</v>
      </c>
      <c r="P343" s="409">
        <v>0</v>
      </c>
      <c r="Q343" s="409">
        <v>0</v>
      </c>
      <c r="R343" s="409">
        <v>50.27</v>
      </c>
      <c r="S343" s="409"/>
      <c r="T343" s="409"/>
      <c r="U343" s="409">
        <v>6032.4000000000005</v>
      </c>
      <c r="V343" s="409"/>
      <c r="W343" s="409">
        <v>6032.4000000000005</v>
      </c>
      <c r="X343" s="409">
        <v>5424</v>
      </c>
      <c r="Y343" s="409">
        <v>0</v>
      </c>
      <c r="Z343" s="409">
        <v>0</v>
      </c>
      <c r="AA343" s="409">
        <v>0</v>
      </c>
      <c r="AB343" s="409">
        <v>0</v>
      </c>
      <c r="AC343" s="409">
        <v>0</v>
      </c>
      <c r="AD343" s="409">
        <v>2875.1919811512239</v>
      </c>
      <c r="AE343" s="409">
        <v>3156.6615245067596</v>
      </c>
      <c r="AF343" s="409"/>
      <c r="AG343" s="409"/>
      <c r="AH343" s="409"/>
      <c r="AI343" s="409">
        <v>0</v>
      </c>
      <c r="AJ343" s="409">
        <v>0</v>
      </c>
      <c r="AK343" s="409">
        <v>0</v>
      </c>
      <c r="AL343" s="409">
        <v>0</v>
      </c>
      <c r="AM343" s="409"/>
      <c r="AN343" s="409">
        <v>0</v>
      </c>
      <c r="AO343" s="409">
        <v>0</v>
      </c>
      <c r="AP343" s="409">
        <v>0</v>
      </c>
      <c r="AQ343" s="409">
        <v>0</v>
      </c>
      <c r="AR343" s="409">
        <v>0</v>
      </c>
      <c r="AS343" s="409"/>
      <c r="AT343" s="409"/>
      <c r="AU343" s="409">
        <v>0</v>
      </c>
      <c r="AV343" s="409">
        <v>0</v>
      </c>
      <c r="AW343" s="409">
        <v>0</v>
      </c>
      <c r="AX343" s="409"/>
      <c r="AY343" s="409"/>
      <c r="AZ343" s="409">
        <v>0</v>
      </c>
      <c r="BA343" s="409"/>
      <c r="BB343" s="409">
        <v>0</v>
      </c>
      <c r="BC343" s="409">
        <v>0</v>
      </c>
      <c r="BD343" s="409">
        <v>0</v>
      </c>
      <c r="BE343" s="409">
        <v>0</v>
      </c>
      <c r="BF343" s="409"/>
      <c r="BG343" s="409">
        <v>0</v>
      </c>
      <c r="BH343" s="409">
        <v>0</v>
      </c>
      <c r="BI343" s="409">
        <v>0</v>
      </c>
      <c r="BJ343" s="409">
        <v>0</v>
      </c>
      <c r="BK343" s="409">
        <v>0</v>
      </c>
      <c r="BL343" s="409">
        <v>1</v>
      </c>
      <c r="BM343" s="409"/>
      <c r="BN343" s="409"/>
      <c r="BO343" s="409"/>
      <c r="BP343" s="409"/>
      <c r="BQ343" s="409"/>
      <c r="BR343" s="409"/>
      <c r="BS343" s="409"/>
      <c r="BT343" s="409"/>
      <c r="BU343" s="409"/>
      <c r="BV343" s="409">
        <v>0</v>
      </c>
      <c r="BW343" s="409"/>
      <c r="BX343" s="409"/>
      <c r="BY343" s="409"/>
      <c r="BZ343" s="409"/>
      <c r="CA343" s="409"/>
      <c r="CB343" s="409"/>
      <c r="CC343" s="409"/>
      <c r="CD343" s="409"/>
      <c r="CE343" s="409"/>
      <c r="CF343" s="409"/>
      <c r="CG343" s="409"/>
      <c r="CH343" s="409"/>
      <c r="CI343" s="409">
        <v>5424</v>
      </c>
      <c r="CJ343" s="409">
        <v>-608.4300000000012</v>
      </c>
      <c r="CK343" s="409"/>
      <c r="CL343" s="409"/>
      <c r="CM343" s="409"/>
      <c r="CN343" s="409"/>
      <c r="CO343" s="409">
        <v>-608.40000000000009</v>
      </c>
      <c r="CP343" s="409">
        <v>0</v>
      </c>
      <c r="CQ343" s="409">
        <v>30</v>
      </c>
      <c r="CR343" s="409">
        <v>116.30817949722041</v>
      </c>
      <c r="CS343" s="409">
        <v>0</v>
      </c>
      <c r="CT343" s="409">
        <v>0</v>
      </c>
      <c r="CU343" s="409">
        <v>0</v>
      </c>
      <c r="CV343" s="409">
        <v>0</v>
      </c>
      <c r="CW343" s="409"/>
      <c r="CX343" s="409"/>
      <c r="CY343" s="409"/>
      <c r="CZ343" s="409">
        <v>107.79272492689233</v>
      </c>
      <c r="DA343" s="409">
        <v>0</v>
      </c>
      <c r="DB343" s="409">
        <v>0</v>
      </c>
      <c r="DC343" s="409"/>
      <c r="DD343" s="409"/>
      <c r="DE343" s="409">
        <v>0</v>
      </c>
      <c r="DF343" s="409">
        <v>0</v>
      </c>
      <c r="DG343" s="409">
        <v>0</v>
      </c>
      <c r="DH343" s="409">
        <v>0</v>
      </c>
      <c r="DI343" s="409">
        <v>0</v>
      </c>
      <c r="DJ343" s="409"/>
      <c r="DK343" s="409">
        <v>0</v>
      </c>
      <c r="DL343" s="409">
        <v>0</v>
      </c>
      <c r="DM343" s="409"/>
      <c r="DN343" s="409">
        <v>0</v>
      </c>
      <c r="DO343" s="409">
        <v>0</v>
      </c>
      <c r="DP343" s="409">
        <v>0</v>
      </c>
      <c r="DQ343" s="409">
        <v>0</v>
      </c>
      <c r="DR343" s="409">
        <v>8.5154545703282878</v>
      </c>
      <c r="DS343" s="409"/>
      <c r="DT343" s="409"/>
      <c r="DU343" s="409">
        <v>3156.6615245067596</v>
      </c>
      <c r="DV343" s="409"/>
      <c r="DW343" s="409">
        <v>0</v>
      </c>
      <c r="DX343" s="409">
        <v>0</v>
      </c>
      <c r="DY343" s="409">
        <v>-608.40000000000055</v>
      </c>
      <c r="DZ343" s="409"/>
      <c r="EA343" s="409">
        <v>0</v>
      </c>
      <c r="EB343" s="409"/>
      <c r="EC343" s="409">
        <v>-723.58104854615976</v>
      </c>
      <c r="ED343" s="409"/>
      <c r="EE343" s="409">
        <v>0</v>
      </c>
      <c r="EF343" s="409">
        <v>0</v>
      </c>
      <c r="EG343" s="409"/>
      <c r="EH343" s="409">
        <v>0</v>
      </c>
      <c r="EI343" s="409">
        <v>0</v>
      </c>
      <c r="EJ343" s="409">
        <v>0</v>
      </c>
      <c r="EK343" s="409">
        <v>0</v>
      </c>
      <c r="EL343" s="409">
        <v>0</v>
      </c>
      <c r="EM343" s="409"/>
      <c r="EN343" s="409"/>
      <c r="EO343" s="409">
        <v>0</v>
      </c>
      <c r="EP343" s="409">
        <v>0</v>
      </c>
      <c r="EQ343" s="409"/>
      <c r="ER343" s="409">
        <v>0</v>
      </c>
      <c r="ES343" s="409"/>
      <c r="ET343" s="409">
        <v>0</v>
      </c>
      <c r="EU343" s="409"/>
      <c r="EV343" s="409">
        <v>254</v>
      </c>
      <c r="EW343" s="409"/>
      <c r="EX343" s="409"/>
      <c r="EY343" s="409"/>
      <c r="EZ343" s="409"/>
      <c r="FA343" s="409">
        <v>0</v>
      </c>
      <c r="FB343" s="409"/>
      <c r="FC343" s="409"/>
      <c r="FD343" s="409"/>
      <c r="FE343" s="409"/>
      <c r="FF343" s="409">
        <v>0</v>
      </c>
      <c r="FG343" s="409">
        <v>0</v>
      </c>
      <c r="FH343" s="409">
        <v>0</v>
      </c>
      <c r="FI343" s="409">
        <v>0</v>
      </c>
    </row>
    <row r="344" spans="1:165">
      <c r="A344" s="409">
        <v>342</v>
      </c>
      <c r="B344" s="409" t="s">
        <v>1035</v>
      </c>
      <c r="C344" s="409" t="s">
        <v>2244</v>
      </c>
      <c r="D344" s="409" t="s">
        <v>1994</v>
      </c>
      <c r="E344" s="409" t="s">
        <v>997</v>
      </c>
      <c r="F344" s="409" t="s">
        <v>1323</v>
      </c>
      <c r="G344" s="409" t="s">
        <v>1323</v>
      </c>
      <c r="H344" s="409" t="s">
        <v>1323</v>
      </c>
      <c r="I344" s="409" t="s">
        <v>1323</v>
      </c>
      <c r="J344" s="409" t="s">
        <v>2245</v>
      </c>
      <c r="K344" s="835">
        <v>44652</v>
      </c>
      <c r="L344" s="409">
        <v>0</v>
      </c>
      <c r="M344" s="409">
        <v>0</v>
      </c>
      <c r="N344" s="409">
        <v>60.774000000000001</v>
      </c>
      <c r="O344" s="409">
        <v>60.774000000000001</v>
      </c>
      <c r="P344" s="409">
        <v>60.774000000000001</v>
      </c>
      <c r="Q344" s="409">
        <v>60.774000000000001</v>
      </c>
      <c r="R344" s="409"/>
      <c r="S344" s="409">
        <v>597.01</v>
      </c>
      <c r="T344" s="409">
        <v>243.39</v>
      </c>
      <c r="U344" s="409"/>
      <c r="V344" s="409">
        <v>51074.469599999997</v>
      </c>
      <c r="W344" s="409">
        <v>51074.469599999997</v>
      </c>
      <c r="X344" s="409">
        <v>46266.030719999995</v>
      </c>
      <c r="Y344" s="409">
        <v>0</v>
      </c>
      <c r="Z344" s="409">
        <v>1512.268459469919</v>
      </c>
      <c r="AA344" s="409">
        <v>0</v>
      </c>
      <c r="AB344" s="409">
        <v>0</v>
      </c>
      <c r="AC344" s="409">
        <v>0</v>
      </c>
      <c r="AD344" s="409">
        <v>7122.0482733696208</v>
      </c>
      <c r="AE344" s="409">
        <v>24919.681303937567</v>
      </c>
      <c r="AF344" s="409">
        <v>14791.616415551653</v>
      </c>
      <c r="AG344" s="409">
        <v>0</v>
      </c>
      <c r="AH344" s="409">
        <v>0</v>
      </c>
      <c r="AI344" s="409">
        <v>0</v>
      </c>
      <c r="AJ344" s="409">
        <v>0</v>
      </c>
      <c r="AK344" s="409">
        <v>0</v>
      </c>
      <c r="AL344" s="409">
        <v>617.40858582364967</v>
      </c>
      <c r="AM344" s="409"/>
      <c r="AN344" s="409">
        <v>104.34114368863368</v>
      </c>
      <c r="AO344" s="409">
        <v>0</v>
      </c>
      <c r="AP344" s="409">
        <v>0</v>
      </c>
      <c r="AQ344" s="409">
        <v>0</v>
      </c>
      <c r="AR344" s="409">
        <v>0</v>
      </c>
      <c r="AS344" s="409">
        <v>0</v>
      </c>
      <c r="AT344" s="409">
        <v>0</v>
      </c>
      <c r="AU344" s="409">
        <v>0</v>
      </c>
      <c r="AV344" s="409">
        <v>0</v>
      </c>
      <c r="AW344" s="409">
        <v>0</v>
      </c>
      <c r="AX344" s="409">
        <v>0</v>
      </c>
      <c r="AY344" s="409">
        <v>0</v>
      </c>
      <c r="AZ344" s="409">
        <v>0</v>
      </c>
      <c r="BA344" s="409"/>
      <c r="BB344" s="409">
        <v>0</v>
      </c>
      <c r="BC344" s="409">
        <v>0</v>
      </c>
      <c r="BD344" s="409">
        <v>0</v>
      </c>
      <c r="BE344" s="409">
        <v>0</v>
      </c>
      <c r="BF344" s="409">
        <v>0</v>
      </c>
      <c r="BG344" s="409">
        <v>2006.7167211966794</v>
      </c>
      <c r="BH344" s="409">
        <v>0</v>
      </c>
      <c r="BI344" s="409">
        <v>75.44</v>
      </c>
      <c r="BJ344" s="409">
        <v>348.37</v>
      </c>
      <c r="BK344" s="409">
        <v>4276.75</v>
      </c>
      <c r="BL344" s="409">
        <v>207</v>
      </c>
      <c r="BM344" s="409"/>
      <c r="BN344" s="409"/>
      <c r="BO344" s="409"/>
      <c r="BP344" s="409"/>
      <c r="BQ344" s="409"/>
      <c r="BR344" s="409"/>
      <c r="BS344" s="409"/>
      <c r="BT344" s="409"/>
      <c r="BU344" s="409"/>
      <c r="BV344" s="409">
        <v>16798.333136748333</v>
      </c>
      <c r="BW344" s="409"/>
      <c r="BX344" s="409"/>
      <c r="BY344" s="409"/>
      <c r="BZ344" s="409"/>
      <c r="CA344" s="409"/>
      <c r="CB344" s="409"/>
      <c r="CC344" s="409"/>
      <c r="CD344" s="409"/>
      <c r="CE344" s="409"/>
      <c r="CF344" s="409"/>
      <c r="CG344" s="409"/>
      <c r="CH344" s="409"/>
      <c r="CI344" s="409">
        <v>46262.9856</v>
      </c>
      <c r="CJ344" s="409">
        <v>-4811.5140000000029</v>
      </c>
      <c r="CK344" s="409"/>
      <c r="CL344" s="409"/>
      <c r="CM344" s="409"/>
      <c r="CN344" s="409"/>
      <c r="CO344" s="409">
        <v>-5322.5869199999988</v>
      </c>
      <c r="CP344" s="409">
        <v>514.14804000000049</v>
      </c>
      <c r="CQ344" s="409">
        <v>30</v>
      </c>
      <c r="CR344" s="409">
        <v>903.94171966155409</v>
      </c>
      <c r="CS344" s="409">
        <v>0</v>
      </c>
      <c r="CT344" s="409">
        <v>0</v>
      </c>
      <c r="CU344" s="409">
        <v>0</v>
      </c>
      <c r="CV344" s="409">
        <v>0</v>
      </c>
      <c r="CW344" s="409">
        <v>0</v>
      </c>
      <c r="CX344" s="409">
        <v>0</v>
      </c>
      <c r="CY344" s="409">
        <v>0</v>
      </c>
      <c r="CZ344" s="409">
        <v>267.00999289098309</v>
      </c>
      <c r="DA344" s="409">
        <v>0</v>
      </c>
      <c r="DB344" s="409">
        <v>0</v>
      </c>
      <c r="DC344" s="409">
        <v>677.60256871690217</v>
      </c>
      <c r="DD344" s="409">
        <v>0</v>
      </c>
      <c r="DE344" s="409">
        <v>0</v>
      </c>
      <c r="DF344" s="409">
        <v>0</v>
      </c>
      <c r="DG344" s="409">
        <v>91.927505876933537</v>
      </c>
      <c r="DH344" s="409">
        <v>0</v>
      </c>
      <c r="DI344" s="409">
        <v>-11.028793494461979</v>
      </c>
      <c r="DJ344" s="409"/>
      <c r="DK344" s="409">
        <v>0</v>
      </c>
      <c r="DL344" s="409">
        <v>0</v>
      </c>
      <c r="DM344" s="409">
        <v>0</v>
      </c>
      <c r="DN344" s="409">
        <v>0</v>
      </c>
      <c r="DO344" s="409">
        <v>-3.4630152563291858</v>
      </c>
      <c r="DP344" s="409">
        <v>-6.1460424697414595</v>
      </c>
      <c r="DQ344" s="409">
        <v>0</v>
      </c>
      <c r="DR344" s="409">
        <v>-111.96049660273064</v>
      </c>
      <c r="DS344" s="409"/>
      <c r="DT344" s="409"/>
      <c r="DU344" s="409"/>
      <c r="DV344" s="409">
        <v>24919.681303937567</v>
      </c>
      <c r="DW344" s="409">
        <v>0</v>
      </c>
      <c r="DX344" s="409">
        <v>0</v>
      </c>
      <c r="DY344" s="409">
        <v>-5322.5869200000016</v>
      </c>
      <c r="DZ344" s="409">
        <v>514.14804000000004</v>
      </c>
      <c r="EA344" s="409">
        <v>0</v>
      </c>
      <c r="EB344" s="409">
        <v>0</v>
      </c>
      <c r="EC344" s="409">
        <v>-5712.1769272228157</v>
      </c>
      <c r="ED344" s="409">
        <v>0</v>
      </c>
      <c r="EE344" s="409">
        <v>0</v>
      </c>
      <c r="EF344" s="409">
        <v>0</v>
      </c>
      <c r="EG344" s="409">
        <v>0</v>
      </c>
      <c r="EH344" s="409">
        <v>0</v>
      </c>
      <c r="EI344" s="409">
        <v>0</v>
      </c>
      <c r="EJ344" s="409">
        <v>0</v>
      </c>
      <c r="EK344" s="409">
        <v>0</v>
      </c>
      <c r="EL344" s="409">
        <v>0</v>
      </c>
      <c r="EM344" s="409">
        <v>0</v>
      </c>
      <c r="EN344" s="409">
        <v>0</v>
      </c>
      <c r="EO344" s="409">
        <v>0</v>
      </c>
      <c r="EP344" s="409">
        <v>0</v>
      </c>
      <c r="EQ344" s="409">
        <v>0</v>
      </c>
      <c r="ER344" s="409">
        <v>0</v>
      </c>
      <c r="ES344" s="409">
        <v>0</v>
      </c>
      <c r="ET344" s="409">
        <v>0</v>
      </c>
      <c r="EU344" s="409">
        <v>0</v>
      </c>
      <c r="EV344" s="409">
        <v>254</v>
      </c>
      <c r="EW344" s="409">
        <v>0</v>
      </c>
      <c r="EX344" s="409">
        <v>0</v>
      </c>
      <c r="EY344" s="409">
        <v>0</v>
      </c>
      <c r="EZ344" s="409"/>
      <c r="FA344" s="409">
        <v>0</v>
      </c>
      <c r="FB344" s="409"/>
      <c r="FC344" s="409"/>
      <c r="FD344" s="409"/>
      <c r="FE344" s="409"/>
      <c r="FF344" s="409">
        <v>0</v>
      </c>
      <c r="FG344" s="409">
        <v>0</v>
      </c>
      <c r="FH344" s="409">
        <v>0</v>
      </c>
      <c r="FI344" s="409">
        <v>0</v>
      </c>
    </row>
    <row r="345" spans="1:165">
      <c r="A345" s="409">
        <v>343</v>
      </c>
      <c r="B345" s="409" t="s">
        <v>2246</v>
      </c>
      <c r="C345" s="409" t="s">
        <v>2244</v>
      </c>
      <c r="D345" s="409" t="s">
        <v>1994</v>
      </c>
      <c r="E345" s="409" t="s">
        <v>997</v>
      </c>
      <c r="F345" s="409" t="s">
        <v>1323</v>
      </c>
      <c r="G345" s="409" t="s">
        <v>1323</v>
      </c>
      <c r="H345" s="409" t="s">
        <v>1323</v>
      </c>
      <c r="I345" s="409" t="s">
        <v>1323</v>
      </c>
      <c r="J345" s="409" t="s">
        <v>2245</v>
      </c>
      <c r="K345" s="835">
        <v>44652</v>
      </c>
      <c r="L345" s="409">
        <v>0</v>
      </c>
      <c r="M345" s="409">
        <v>0</v>
      </c>
      <c r="N345" s="409">
        <v>4.4989999999999997</v>
      </c>
      <c r="O345" s="409">
        <v>4.4989999999999997</v>
      </c>
      <c r="P345" s="409">
        <v>4.4989999999999997</v>
      </c>
      <c r="Q345" s="409">
        <v>4.4989999999999997</v>
      </c>
      <c r="R345" s="409"/>
      <c r="S345" s="409">
        <v>597.01</v>
      </c>
      <c r="T345" s="409">
        <v>243.39</v>
      </c>
      <c r="U345" s="409"/>
      <c r="V345" s="409">
        <v>3780.9595999999992</v>
      </c>
      <c r="W345" s="409">
        <v>3780.9595999999992</v>
      </c>
      <c r="X345" s="409">
        <v>3424.9987199999996</v>
      </c>
      <c r="Y345" s="409">
        <v>0</v>
      </c>
      <c r="Z345" s="409">
        <v>111.950765115924</v>
      </c>
      <c r="AA345" s="409">
        <v>0</v>
      </c>
      <c r="AB345" s="409">
        <v>0</v>
      </c>
      <c r="AC345" s="409">
        <v>0</v>
      </c>
      <c r="AD345" s="409">
        <v>527.23360617846322</v>
      </c>
      <c r="AE345" s="409">
        <v>1844.7633229080709</v>
      </c>
      <c r="AF345" s="409">
        <v>1094.9992143608597</v>
      </c>
      <c r="AG345" s="409">
        <v>0</v>
      </c>
      <c r="AH345" s="409">
        <v>0</v>
      </c>
      <c r="AI345" s="409">
        <v>0</v>
      </c>
      <c r="AJ345" s="409">
        <v>0</v>
      </c>
      <c r="AK345" s="409">
        <v>0</v>
      </c>
      <c r="AL345" s="409">
        <v>45.70574962353308</v>
      </c>
      <c r="AM345" s="409"/>
      <c r="AN345" s="409">
        <v>7.7242045192872419</v>
      </c>
      <c r="AO345" s="409">
        <v>0</v>
      </c>
      <c r="AP345" s="409">
        <v>0</v>
      </c>
      <c r="AQ345" s="409">
        <v>0</v>
      </c>
      <c r="AR345" s="409">
        <v>0</v>
      </c>
      <c r="AS345" s="409">
        <v>0</v>
      </c>
      <c r="AT345" s="409">
        <v>0</v>
      </c>
      <c r="AU345" s="409">
        <v>0</v>
      </c>
      <c r="AV345" s="409">
        <v>0</v>
      </c>
      <c r="AW345" s="409">
        <v>0</v>
      </c>
      <c r="AX345" s="409">
        <v>0</v>
      </c>
      <c r="AY345" s="409">
        <v>0</v>
      </c>
      <c r="AZ345" s="409">
        <v>0</v>
      </c>
      <c r="BA345" s="409"/>
      <c r="BB345" s="409">
        <v>0</v>
      </c>
      <c r="BC345" s="409">
        <v>0</v>
      </c>
      <c r="BD345" s="409">
        <v>0</v>
      </c>
      <c r="BE345" s="409">
        <v>0</v>
      </c>
      <c r="BF345" s="409">
        <v>0</v>
      </c>
      <c r="BG345" s="409">
        <v>148.55396269233324</v>
      </c>
      <c r="BH345" s="409">
        <v>0</v>
      </c>
      <c r="BI345" s="409">
        <v>0</v>
      </c>
      <c r="BJ345" s="409">
        <v>0</v>
      </c>
      <c r="BK345" s="409">
        <v>0</v>
      </c>
      <c r="BL345" s="409">
        <v>7</v>
      </c>
      <c r="BM345" s="409"/>
      <c r="BN345" s="409"/>
      <c r="BO345" s="409"/>
      <c r="BP345" s="409"/>
      <c r="BQ345" s="409"/>
      <c r="BR345" s="409"/>
      <c r="BS345" s="409"/>
      <c r="BT345" s="409"/>
      <c r="BU345" s="409"/>
      <c r="BV345" s="409">
        <v>1243.5531770531929</v>
      </c>
      <c r="BW345" s="409"/>
      <c r="BX345" s="409"/>
      <c r="BY345" s="409"/>
      <c r="BZ345" s="409"/>
      <c r="CA345" s="409"/>
      <c r="CB345" s="409"/>
      <c r="CC345" s="409"/>
      <c r="CD345" s="409"/>
      <c r="CE345" s="409"/>
      <c r="CF345" s="409"/>
      <c r="CG345" s="409"/>
      <c r="CH345" s="409"/>
      <c r="CI345" s="409">
        <v>3425.76</v>
      </c>
      <c r="CJ345" s="409">
        <v>-355.22959999999966</v>
      </c>
      <c r="CK345" s="409"/>
      <c r="CL345" s="409"/>
      <c r="CM345" s="409"/>
      <c r="CN345" s="409"/>
      <c r="CO345" s="409">
        <v>-394.0224199999999</v>
      </c>
      <c r="CP345" s="409">
        <v>38.061540000000036</v>
      </c>
      <c r="CQ345" s="409">
        <v>30</v>
      </c>
      <c r="CR345" s="409">
        <v>66.917329725825539</v>
      </c>
      <c r="CS345" s="409">
        <v>0</v>
      </c>
      <c r="CT345" s="409">
        <v>0</v>
      </c>
      <c r="CU345" s="409">
        <v>0</v>
      </c>
      <c r="CV345" s="409">
        <v>0</v>
      </c>
      <c r="CW345" s="409">
        <v>0</v>
      </c>
      <c r="CX345" s="409">
        <v>0</v>
      </c>
      <c r="CY345" s="409">
        <v>0</v>
      </c>
      <c r="CZ345" s="409">
        <v>19.766313851589985</v>
      </c>
      <c r="DA345" s="409">
        <v>0</v>
      </c>
      <c r="DB345" s="409">
        <v>0</v>
      </c>
      <c r="DC345" s="409">
        <v>50.161811904059732</v>
      </c>
      <c r="DD345" s="409">
        <v>0</v>
      </c>
      <c r="DE345" s="409">
        <v>0</v>
      </c>
      <c r="DF345" s="409">
        <v>0</v>
      </c>
      <c r="DG345" s="409">
        <v>6.80524317866724</v>
      </c>
      <c r="DH345" s="409">
        <v>0</v>
      </c>
      <c r="DI345" s="409">
        <v>-0.8164435767200473</v>
      </c>
      <c r="DJ345" s="409"/>
      <c r="DK345" s="409">
        <v>0</v>
      </c>
      <c r="DL345" s="409">
        <v>0</v>
      </c>
      <c r="DM345" s="409">
        <v>0</v>
      </c>
      <c r="DN345" s="409">
        <v>0</v>
      </c>
      <c r="DO345" s="409">
        <v>-0.2563613656863879</v>
      </c>
      <c r="DP345" s="409">
        <v>-0.4549814899688478</v>
      </c>
      <c r="DQ345" s="409">
        <v>0</v>
      </c>
      <c r="DR345" s="409">
        <v>-8.2882527761161864</v>
      </c>
      <c r="DS345" s="409"/>
      <c r="DT345" s="409"/>
      <c r="DU345" s="409"/>
      <c r="DV345" s="409">
        <v>1844.7633229080709</v>
      </c>
      <c r="DW345" s="409">
        <v>0</v>
      </c>
      <c r="DX345" s="409">
        <v>0</v>
      </c>
      <c r="DY345" s="409">
        <v>-394.02241999999978</v>
      </c>
      <c r="DZ345" s="409">
        <v>38.06154000000015</v>
      </c>
      <c r="EA345" s="409">
        <v>0</v>
      </c>
      <c r="EB345" s="409">
        <v>0</v>
      </c>
      <c r="EC345" s="409">
        <v>-422.8631321877026</v>
      </c>
      <c r="ED345" s="409">
        <v>0</v>
      </c>
      <c r="EE345" s="409">
        <v>0</v>
      </c>
      <c r="EF345" s="409">
        <v>0</v>
      </c>
      <c r="EG345" s="409">
        <v>0</v>
      </c>
      <c r="EH345" s="409">
        <v>0</v>
      </c>
      <c r="EI345" s="409">
        <v>0</v>
      </c>
      <c r="EJ345" s="409">
        <v>0</v>
      </c>
      <c r="EK345" s="409">
        <v>0</v>
      </c>
      <c r="EL345" s="409">
        <v>0</v>
      </c>
      <c r="EM345" s="409">
        <v>0</v>
      </c>
      <c r="EN345" s="409">
        <v>0</v>
      </c>
      <c r="EO345" s="409">
        <v>0</v>
      </c>
      <c r="EP345" s="409">
        <v>0</v>
      </c>
      <c r="EQ345" s="409">
        <v>0</v>
      </c>
      <c r="ER345" s="409">
        <v>0</v>
      </c>
      <c r="ES345" s="409">
        <v>0</v>
      </c>
      <c r="ET345" s="409">
        <v>0</v>
      </c>
      <c r="EU345" s="409">
        <v>0</v>
      </c>
      <c r="EV345" s="409">
        <v>254</v>
      </c>
      <c r="EW345" s="409">
        <v>0</v>
      </c>
      <c r="EX345" s="409">
        <v>0</v>
      </c>
      <c r="EY345" s="409">
        <v>0</v>
      </c>
      <c r="EZ345" s="409"/>
      <c r="FA345" s="409">
        <v>0</v>
      </c>
      <c r="FB345" s="409"/>
      <c r="FC345" s="409"/>
      <c r="FD345" s="409"/>
      <c r="FE345" s="409"/>
      <c r="FF345" s="409">
        <v>0</v>
      </c>
      <c r="FG345" s="409">
        <v>0</v>
      </c>
      <c r="FH345" s="409">
        <v>0</v>
      </c>
      <c r="FI345" s="409">
        <v>0</v>
      </c>
    </row>
    <row r="346" spans="1:165">
      <c r="A346" s="409">
        <v>344</v>
      </c>
      <c r="B346" s="409" t="s">
        <v>1035</v>
      </c>
      <c r="C346" s="409" t="s">
        <v>2252</v>
      </c>
      <c r="D346" s="409" t="s">
        <v>1994</v>
      </c>
      <c r="E346" s="409" t="s">
        <v>997</v>
      </c>
      <c r="F346" s="409" t="s">
        <v>1323</v>
      </c>
      <c r="G346" s="409" t="s">
        <v>1323</v>
      </c>
      <c r="H346" s="409" t="s">
        <v>1323</v>
      </c>
      <c r="I346" s="409" t="s">
        <v>972</v>
      </c>
      <c r="J346" s="409" t="s">
        <v>2245</v>
      </c>
      <c r="K346" s="835">
        <v>44652</v>
      </c>
      <c r="L346" s="409">
        <v>0</v>
      </c>
      <c r="M346" s="409">
        <v>0</v>
      </c>
      <c r="N346" s="409">
        <v>8.0000000000000002E-3</v>
      </c>
      <c r="O346" s="409">
        <v>8.0000000000000002E-3</v>
      </c>
      <c r="P346" s="409">
        <v>8.0000000000000002E-3</v>
      </c>
      <c r="Q346" s="409">
        <v>8.0000000000000002E-3</v>
      </c>
      <c r="R346" s="409"/>
      <c r="S346" s="409">
        <v>1783.27</v>
      </c>
      <c r="T346" s="409">
        <v>243.39</v>
      </c>
      <c r="U346" s="409"/>
      <c r="V346" s="409">
        <v>16.213279999999997</v>
      </c>
      <c r="W346" s="409">
        <v>16.213279999999997</v>
      </c>
      <c r="X346" s="409">
        <v>13.98096</v>
      </c>
      <c r="Y346" s="409">
        <v>0</v>
      </c>
      <c r="Z346" s="409">
        <v>0.1990678197215808</v>
      </c>
      <c r="AA346" s="409">
        <v>0</v>
      </c>
      <c r="AB346" s="409">
        <v>0</v>
      </c>
      <c r="AC346" s="409">
        <v>0</v>
      </c>
      <c r="AD346" s="409">
        <v>3.04691732483156</v>
      </c>
      <c r="AE346" s="409">
        <v>10.6610059568896</v>
      </c>
      <c r="AF346" s="409">
        <v>1.9470979584100641</v>
      </c>
      <c r="AG346" s="409">
        <v>0</v>
      </c>
      <c r="AH346" s="409">
        <v>0</v>
      </c>
      <c r="AI346" s="409">
        <v>0</v>
      </c>
      <c r="AJ346" s="409">
        <v>0</v>
      </c>
      <c r="AK346" s="409">
        <v>0</v>
      </c>
      <c r="AL346" s="409">
        <v>8.1272726603303994E-2</v>
      </c>
      <c r="AM346" s="409"/>
      <c r="AN346" s="409">
        <v>1.3734971361257601E-2</v>
      </c>
      <c r="AO346" s="409">
        <v>0</v>
      </c>
      <c r="AP346" s="409">
        <v>0</v>
      </c>
      <c r="AQ346" s="409">
        <v>0</v>
      </c>
      <c r="AR346" s="409">
        <v>0</v>
      </c>
      <c r="AS346" s="409">
        <v>0</v>
      </c>
      <c r="AT346" s="409">
        <v>0</v>
      </c>
      <c r="AU346" s="409">
        <v>0</v>
      </c>
      <c r="AV346" s="409">
        <v>0</v>
      </c>
      <c r="AW346" s="409">
        <v>0</v>
      </c>
      <c r="AX346" s="409">
        <v>0</v>
      </c>
      <c r="AY346" s="409">
        <v>0</v>
      </c>
      <c r="AZ346" s="409">
        <v>0</v>
      </c>
      <c r="BA346" s="409"/>
      <c r="BB346" s="409">
        <v>0</v>
      </c>
      <c r="BC346" s="409">
        <v>0</v>
      </c>
      <c r="BD346" s="409">
        <v>0</v>
      </c>
      <c r="BE346" s="409">
        <v>0</v>
      </c>
      <c r="BF346" s="409">
        <v>0</v>
      </c>
      <c r="BG346" s="409">
        <v>0.26415463470519357</v>
      </c>
      <c r="BH346" s="409">
        <v>0</v>
      </c>
      <c r="BI346" s="409">
        <v>0</v>
      </c>
      <c r="BJ346" s="409">
        <v>0</v>
      </c>
      <c r="BK346" s="409">
        <v>0</v>
      </c>
      <c r="BL346" s="409">
        <v>0</v>
      </c>
      <c r="BM346" s="409"/>
      <c r="BN346" s="409"/>
      <c r="BO346" s="409"/>
      <c r="BP346" s="409"/>
      <c r="BQ346" s="409"/>
      <c r="BR346" s="409"/>
      <c r="BS346" s="409"/>
      <c r="BT346" s="409"/>
      <c r="BU346" s="409"/>
      <c r="BV346" s="409">
        <v>2.2112525931152578</v>
      </c>
      <c r="BW346" s="409"/>
      <c r="BX346" s="409"/>
      <c r="BY346" s="409"/>
      <c r="BZ346" s="409"/>
      <c r="CA346" s="409"/>
      <c r="CB346" s="409"/>
      <c r="CC346" s="409"/>
      <c r="CD346" s="409"/>
      <c r="CE346" s="409"/>
      <c r="CF346" s="409"/>
      <c r="CG346" s="409"/>
      <c r="CH346" s="409"/>
      <c r="CI346" s="409">
        <v>17.476200000000002</v>
      </c>
      <c r="CJ346" s="409">
        <v>1.23292</v>
      </c>
      <c r="CK346" s="409"/>
      <c r="CL346" s="409"/>
      <c r="CM346" s="409"/>
      <c r="CN346" s="409"/>
      <c r="CO346" s="409">
        <v>-2.3000000000000003</v>
      </c>
      <c r="CP346" s="409">
        <v>6.768000000000006E-2</v>
      </c>
      <c r="CQ346" s="409">
        <v>30</v>
      </c>
      <c r="CR346" s="409">
        <v>0.21147110344273923</v>
      </c>
      <c r="CS346" s="409">
        <v>0</v>
      </c>
      <c r="CT346" s="409">
        <v>0</v>
      </c>
      <c r="CU346" s="409">
        <v>0</v>
      </c>
      <c r="CV346" s="409">
        <v>0</v>
      </c>
      <c r="CW346" s="409">
        <v>0</v>
      </c>
      <c r="CX346" s="409">
        <v>0</v>
      </c>
      <c r="CY346" s="409">
        <v>0</v>
      </c>
      <c r="CZ346" s="409">
        <v>0.11423081422862413</v>
      </c>
      <c r="DA346" s="409">
        <v>0</v>
      </c>
      <c r="DB346" s="409">
        <v>0</v>
      </c>
      <c r="DC346" s="409">
        <v>8.9196375912976134E-2</v>
      </c>
      <c r="DD346" s="409">
        <v>0</v>
      </c>
      <c r="DE346" s="409">
        <v>0</v>
      </c>
      <c r="DF346" s="409">
        <v>0</v>
      </c>
      <c r="DG346" s="409">
        <v>1.2100899184116054E-2</v>
      </c>
      <c r="DH346" s="409">
        <v>0</v>
      </c>
      <c r="DI346" s="409">
        <v>-1.4517778648055757E-3</v>
      </c>
      <c r="DJ346" s="409"/>
      <c r="DK346" s="409">
        <v>0</v>
      </c>
      <c r="DL346" s="409">
        <v>0</v>
      </c>
      <c r="DM346" s="409">
        <v>0</v>
      </c>
      <c r="DN346" s="409">
        <v>0</v>
      </c>
      <c r="DO346" s="409">
        <v>-4.5585484007359955E-4</v>
      </c>
      <c r="DP346" s="409">
        <v>-8.0903576789304044E-4</v>
      </c>
      <c r="DQ346" s="409">
        <v>0</v>
      </c>
      <c r="DR346" s="409">
        <v>-1.3403174102044786E-3</v>
      </c>
      <c r="DS346" s="409"/>
      <c r="DT346" s="409"/>
      <c r="DU346" s="409"/>
      <c r="DV346" s="409">
        <v>10.6610059568896</v>
      </c>
      <c r="DW346" s="409">
        <v>0</v>
      </c>
      <c r="DX346" s="409">
        <v>0</v>
      </c>
      <c r="DY346" s="409">
        <v>-2.2999999999999989</v>
      </c>
      <c r="DZ346" s="409">
        <v>6.7680000000000184E-2</v>
      </c>
      <c r="EA346" s="409">
        <v>0</v>
      </c>
      <c r="EB346" s="409">
        <v>0</v>
      </c>
      <c r="EC346" s="409">
        <v>-2.4437532529080794</v>
      </c>
      <c r="ED346" s="409">
        <v>0</v>
      </c>
      <c r="EE346" s="409">
        <v>0</v>
      </c>
      <c r="EF346" s="409">
        <v>0</v>
      </c>
      <c r="EG346" s="409">
        <v>0</v>
      </c>
      <c r="EH346" s="409">
        <v>0</v>
      </c>
      <c r="EI346" s="409">
        <v>0</v>
      </c>
      <c r="EJ346" s="409">
        <v>0</v>
      </c>
      <c r="EK346" s="409">
        <v>0</v>
      </c>
      <c r="EL346" s="409">
        <v>0</v>
      </c>
      <c r="EM346" s="409">
        <v>0</v>
      </c>
      <c r="EN346" s="409">
        <v>0</v>
      </c>
      <c r="EO346" s="409">
        <v>0</v>
      </c>
      <c r="EP346" s="409">
        <v>0</v>
      </c>
      <c r="EQ346" s="409">
        <v>0</v>
      </c>
      <c r="ER346" s="409">
        <v>0</v>
      </c>
      <c r="ES346" s="409">
        <v>0</v>
      </c>
      <c r="ET346" s="409">
        <v>0</v>
      </c>
      <c r="EU346" s="409">
        <v>0</v>
      </c>
      <c r="EV346" s="409">
        <v>254</v>
      </c>
      <c r="EW346" s="409">
        <v>0</v>
      </c>
      <c r="EX346" s="409">
        <v>0</v>
      </c>
      <c r="EY346" s="409">
        <v>0</v>
      </c>
      <c r="EZ346" s="409"/>
      <c r="FA346" s="409">
        <v>0</v>
      </c>
      <c r="FB346" s="409"/>
      <c r="FC346" s="409"/>
      <c r="FD346" s="409"/>
      <c r="FE346" s="409"/>
      <c r="FF346" s="409">
        <v>0</v>
      </c>
      <c r="FG346" s="409">
        <v>0</v>
      </c>
      <c r="FH346" s="409">
        <v>0</v>
      </c>
      <c r="FI346" s="409">
        <v>0</v>
      </c>
    </row>
    <row r="347" spans="1:165">
      <c r="A347" s="409">
        <v>345</v>
      </c>
      <c r="B347" s="409" t="s">
        <v>1035</v>
      </c>
      <c r="C347" s="409" t="s">
        <v>2252</v>
      </c>
      <c r="D347" s="409" t="s">
        <v>1994</v>
      </c>
      <c r="E347" s="409" t="s">
        <v>997</v>
      </c>
      <c r="F347" s="409" t="s">
        <v>1323</v>
      </c>
      <c r="G347" s="409" t="s">
        <v>1323</v>
      </c>
      <c r="H347" s="409" t="s">
        <v>1323</v>
      </c>
      <c r="I347" s="409" t="s">
        <v>2237</v>
      </c>
      <c r="J347" s="409" t="s">
        <v>2245</v>
      </c>
      <c r="K347" s="835">
        <v>44652</v>
      </c>
      <c r="L347" s="409">
        <v>0</v>
      </c>
      <c r="M347" s="409">
        <v>0</v>
      </c>
      <c r="N347" s="409">
        <v>0.378</v>
      </c>
      <c r="O347" s="409">
        <v>0.378</v>
      </c>
      <c r="P347" s="409">
        <v>0.378</v>
      </c>
      <c r="Q347" s="409">
        <v>0.378</v>
      </c>
      <c r="R347" s="409"/>
      <c r="S347" s="409">
        <v>412.48</v>
      </c>
      <c r="T347" s="409">
        <v>243.39</v>
      </c>
      <c r="U347" s="409"/>
      <c r="V347" s="409">
        <v>247.91886</v>
      </c>
      <c r="W347" s="409">
        <v>247.91886</v>
      </c>
      <c r="X347" s="409">
        <v>229.76730000000001</v>
      </c>
      <c r="Y347" s="409">
        <v>0</v>
      </c>
      <c r="Z347" s="409">
        <v>9.4059544818446934</v>
      </c>
      <c r="AA347" s="409">
        <v>0</v>
      </c>
      <c r="AB347" s="409">
        <v>0</v>
      </c>
      <c r="AC347" s="409">
        <v>0</v>
      </c>
      <c r="AD347" s="409">
        <v>28.793823328375286</v>
      </c>
      <c r="AE347" s="409">
        <v>100.74654882308393</v>
      </c>
      <c r="AF347" s="409">
        <v>92.000378534875523</v>
      </c>
      <c r="AG347" s="409">
        <v>0</v>
      </c>
      <c r="AH347" s="409">
        <v>0</v>
      </c>
      <c r="AI347" s="409">
        <v>0</v>
      </c>
      <c r="AJ347" s="409">
        <v>0</v>
      </c>
      <c r="AK347" s="409">
        <v>0</v>
      </c>
      <c r="AL347" s="409">
        <v>3.8401363320061139</v>
      </c>
      <c r="AM347" s="409"/>
      <c r="AN347" s="409">
        <v>0.64897739681942157</v>
      </c>
      <c r="AO347" s="409">
        <v>0</v>
      </c>
      <c r="AP347" s="409">
        <v>0</v>
      </c>
      <c r="AQ347" s="409">
        <v>0</v>
      </c>
      <c r="AR347" s="409">
        <v>0</v>
      </c>
      <c r="AS347" s="409">
        <v>0</v>
      </c>
      <c r="AT347" s="409">
        <v>0</v>
      </c>
      <c r="AU347" s="409">
        <v>0</v>
      </c>
      <c r="AV347" s="409">
        <v>0</v>
      </c>
      <c r="AW347" s="409">
        <v>0</v>
      </c>
      <c r="AX347" s="409">
        <v>0</v>
      </c>
      <c r="AY347" s="409">
        <v>0</v>
      </c>
      <c r="AZ347" s="409">
        <v>0</v>
      </c>
      <c r="BA347" s="409"/>
      <c r="BB347" s="409">
        <v>0</v>
      </c>
      <c r="BC347" s="409">
        <v>0</v>
      </c>
      <c r="BD347" s="409">
        <v>0</v>
      </c>
      <c r="BE347" s="409">
        <v>0</v>
      </c>
      <c r="BF347" s="409">
        <v>0</v>
      </c>
      <c r="BG347" s="409">
        <v>12.481306489820398</v>
      </c>
      <c r="BH347" s="409">
        <v>0</v>
      </c>
      <c r="BI347" s="409">
        <v>0</v>
      </c>
      <c r="BJ347" s="409">
        <v>0</v>
      </c>
      <c r="BK347" s="409">
        <v>0</v>
      </c>
      <c r="BL347" s="409">
        <v>0</v>
      </c>
      <c r="BM347" s="409"/>
      <c r="BN347" s="409"/>
      <c r="BO347" s="409"/>
      <c r="BP347" s="409"/>
      <c r="BQ347" s="409"/>
      <c r="BR347" s="409"/>
      <c r="BS347" s="409"/>
      <c r="BT347" s="409"/>
      <c r="BU347" s="409"/>
      <c r="BV347" s="409">
        <v>104.48168502469592</v>
      </c>
      <c r="BW347" s="409"/>
      <c r="BX347" s="409"/>
      <c r="BY347" s="409"/>
      <c r="BZ347" s="409"/>
      <c r="CA347" s="409"/>
      <c r="CB347" s="409"/>
      <c r="CC347" s="409"/>
      <c r="CD347" s="409"/>
      <c r="CE347" s="409"/>
      <c r="CF347" s="409"/>
      <c r="CG347" s="409"/>
      <c r="CH347" s="409"/>
      <c r="CI347" s="409">
        <v>230.983</v>
      </c>
      <c r="CJ347" s="409">
        <v>-16.965859999999964</v>
      </c>
      <c r="CK347" s="409"/>
      <c r="CL347" s="409"/>
      <c r="CM347" s="409"/>
      <c r="CN347" s="409"/>
      <c r="CO347" s="409">
        <v>-21.349440000000008</v>
      </c>
      <c r="CP347" s="409">
        <v>3.1978800000000032</v>
      </c>
      <c r="CQ347" s="409">
        <v>30</v>
      </c>
      <c r="CR347" s="409">
        <v>4.9425921866253475</v>
      </c>
      <c r="CS347" s="409">
        <v>0</v>
      </c>
      <c r="CT347" s="409">
        <v>0</v>
      </c>
      <c r="CU347" s="409">
        <v>0</v>
      </c>
      <c r="CV347" s="409">
        <v>0</v>
      </c>
      <c r="CW347" s="409">
        <v>0</v>
      </c>
      <c r="CX347" s="409">
        <v>0</v>
      </c>
      <c r="CY347" s="409">
        <v>0</v>
      </c>
      <c r="CZ347" s="409">
        <v>1.0794982380223921</v>
      </c>
      <c r="DA347" s="409">
        <v>0</v>
      </c>
      <c r="DB347" s="409">
        <v>0</v>
      </c>
      <c r="DC347" s="409">
        <v>4.2145287618881184</v>
      </c>
      <c r="DD347" s="409">
        <v>0</v>
      </c>
      <c r="DE347" s="409">
        <v>0</v>
      </c>
      <c r="DF347" s="409">
        <v>0</v>
      </c>
      <c r="DG347" s="409">
        <v>0.57176748644948105</v>
      </c>
      <c r="DH347" s="409">
        <v>0</v>
      </c>
      <c r="DI347" s="409">
        <v>-6.8596504112065304E-2</v>
      </c>
      <c r="DJ347" s="409"/>
      <c r="DK347" s="409">
        <v>0</v>
      </c>
      <c r="DL347" s="409">
        <v>0</v>
      </c>
      <c r="DM347" s="409">
        <v>0</v>
      </c>
      <c r="DN347" s="409">
        <v>0</v>
      </c>
      <c r="DO347" s="409">
        <v>-2.1539141193477551E-2</v>
      </c>
      <c r="DP347" s="409">
        <v>-3.8226940032946133E-2</v>
      </c>
      <c r="DQ347" s="409">
        <v>0</v>
      </c>
      <c r="DR347" s="409">
        <v>-0.79483971439612122</v>
      </c>
      <c r="DS347" s="409"/>
      <c r="DT347" s="409"/>
      <c r="DU347" s="409"/>
      <c r="DV347" s="409">
        <v>100.74654882308393</v>
      </c>
      <c r="DW347" s="409">
        <v>0</v>
      </c>
      <c r="DX347" s="409">
        <v>0</v>
      </c>
      <c r="DY347" s="409">
        <v>-21.349439999999987</v>
      </c>
      <c r="DZ347" s="409">
        <v>3.1978799999999978</v>
      </c>
      <c r="EA347" s="409">
        <v>0</v>
      </c>
      <c r="EB347" s="409">
        <v>0</v>
      </c>
      <c r="EC347" s="409">
        <v>-23.093477988966498</v>
      </c>
      <c r="ED347" s="409">
        <v>0</v>
      </c>
      <c r="EE347" s="409">
        <v>0</v>
      </c>
      <c r="EF347" s="409">
        <v>0</v>
      </c>
      <c r="EG347" s="409">
        <v>0</v>
      </c>
      <c r="EH347" s="409">
        <v>0</v>
      </c>
      <c r="EI347" s="409">
        <v>0</v>
      </c>
      <c r="EJ347" s="409">
        <v>0</v>
      </c>
      <c r="EK347" s="409">
        <v>0</v>
      </c>
      <c r="EL347" s="409">
        <v>0</v>
      </c>
      <c r="EM347" s="409">
        <v>0</v>
      </c>
      <c r="EN347" s="409">
        <v>0</v>
      </c>
      <c r="EO347" s="409">
        <v>0</v>
      </c>
      <c r="EP347" s="409">
        <v>0</v>
      </c>
      <c r="EQ347" s="409">
        <v>0</v>
      </c>
      <c r="ER347" s="409">
        <v>0</v>
      </c>
      <c r="ES347" s="409">
        <v>0</v>
      </c>
      <c r="ET347" s="409">
        <v>0</v>
      </c>
      <c r="EU347" s="409">
        <v>0</v>
      </c>
      <c r="EV347" s="409">
        <v>254</v>
      </c>
      <c r="EW347" s="409">
        <v>0</v>
      </c>
      <c r="EX347" s="409">
        <v>0</v>
      </c>
      <c r="EY347" s="409">
        <v>0</v>
      </c>
      <c r="EZ347" s="409"/>
      <c r="FA347" s="409">
        <v>0</v>
      </c>
      <c r="FB347" s="409"/>
      <c r="FC347" s="409"/>
      <c r="FD347" s="409"/>
      <c r="FE347" s="409"/>
      <c r="FF347" s="409">
        <v>0</v>
      </c>
      <c r="FG347" s="409">
        <v>0</v>
      </c>
      <c r="FH347" s="409">
        <v>0</v>
      </c>
      <c r="FI347" s="409">
        <v>0</v>
      </c>
    </row>
    <row r="348" spans="1:165">
      <c r="A348" s="409">
        <v>346</v>
      </c>
      <c r="B348" s="409" t="s">
        <v>1035</v>
      </c>
      <c r="C348" s="409" t="s">
        <v>2252</v>
      </c>
      <c r="D348" s="409" t="s">
        <v>1994</v>
      </c>
      <c r="E348" s="409" t="s">
        <v>997</v>
      </c>
      <c r="F348" s="409" t="s">
        <v>1323</v>
      </c>
      <c r="G348" s="409" t="s">
        <v>1323</v>
      </c>
      <c r="H348" s="409" t="s">
        <v>1323</v>
      </c>
      <c r="I348" s="409" t="s">
        <v>1323</v>
      </c>
      <c r="J348" s="409" t="s">
        <v>2245</v>
      </c>
      <c r="K348" s="835">
        <v>44652</v>
      </c>
      <c r="L348" s="409">
        <v>0</v>
      </c>
      <c r="M348" s="409">
        <v>0</v>
      </c>
      <c r="N348" s="409">
        <v>0</v>
      </c>
      <c r="O348" s="409">
        <v>0</v>
      </c>
      <c r="P348" s="409">
        <v>0</v>
      </c>
      <c r="Q348" s="409">
        <v>0</v>
      </c>
      <c r="R348" s="409"/>
      <c r="S348" s="409"/>
      <c r="T348" s="409"/>
      <c r="U348" s="409"/>
      <c r="V348" s="409"/>
      <c r="W348" s="409"/>
      <c r="X348" s="409"/>
      <c r="Y348" s="409"/>
      <c r="Z348" s="409"/>
      <c r="AA348" s="409">
        <v>0</v>
      </c>
      <c r="AB348" s="409"/>
      <c r="AC348" s="409"/>
      <c r="AD348" s="409"/>
      <c r="AE348" s="409"/>
      <c r="AF348" s="409"/>
      <c r="AG348" s="409"/>
      <c r="AH348" s="409"/>
      <c r="AI348" s="409"/>
      <c r="AJ348" s="409"/>
      <c r="AK348" s="409"/>
      <c r="AL348" s="409"/>
      <c r="AM348" s="409"/>
      <c r="AN348" s="409"/>
      <c r="AO348" s="409"/>
      <c r="AP348" s="409"/>
      <c r="AQ348" s="409"/>
      <c r="AR348" s="409"/>
      <c r="AS348" s="409"/>
      <c r="AT348" s="409"/>
      <c r="AU348" s="409"/>
      <c r="AV348" s="409"/>
      <c r="AW348" s="409"/>
      <c r="AX348" s="409"/>
      <c r="AY348" s="409"/>
      <c r="AZ348" s="409">
        <v>0</v>
      </c>
      <c r="BA348" s="409"/>
      <c r="BB348" s="409"/>
      <c r="BC348" s="409"/>
      <c r="BD348" s="409"/>
      <c r="BE348" s="409"/>
      <c r="BF348" s="409"/>
      <c r="BG348" s="409"/>
      <c r="BH348" s="409"/>
      <c r="BI348" s="409">
        <v>0</v>
      </c>
      <c r="BJ348" s="409">
        <v>0</v>
      </c>
      <c r="BK348" s="409">
        <v>0</v>
      </c>
      <c r="BL348" s="409">
        <v>1</v>
      </c>
      <c r="BM348" s="409"/>
      <c r="BN348" s="409"/>
      <c r="BO348" s="409"/>
      <c r="BP348" s="409"/>
      <c r="BQ348" s="409"/>
      <c r="BR348" s="409"/>
      <c r="BS348" s="409"/>
      <c r="BT348" s="409"/>
      <c r="BU348" s="409"/>
      <c r="BV348" s="409"/>
      <c r="BW348" s="409"/>
      <c r="BX348" s="409"/>
      <c r="BY348" s="409"/>
      <c r="BZ348" s="409"/>
      <c r="CA348" s="409"/>
      <c r="CB348" s="409"/>
      <c r="CC348" s="409"/>
      <c r="CD348" s="409"/>
      <c r="CE348" s="409"/>
      <c r="CF348" s="409"/>
      <c r="CG348" s="409"/>
      <c r="CH348" s="409"/>
      <c r="CI348" s="409"/>
      <c r="CJ348" s="409">
        <v>-0.03</v>
      </c>
      <c r="CK348" s="409"/>
      <c r="CL348" s="409"/>
      <c r="CM348" s="409"/>
      <c r="CN348" s="409"/>
      <c r="CO348" s="409">
        <v>0</v>
      </c>
      <c r="CP348" s="409">
        <v>0</v>
      </c>
      <c r="CQ348" s="409">
        <v>30</v>
      </c>
      <c r="CR348" s="409"/>
      <c r="CS348" s="409"/>
      <c r="CT348" s="409"/>
      <c r="CU348" s="409"/>
      <c r="CV348" s="409"/>
      <c r="CW348" s="409"/>
      <c r="CX348" s="409"/>
      <c r="CY348" s="409"/>
      <c r="CZ348" s="409"/>
      <c r="DA348" s="409"/>
      <c r="DB348" s="409"/>
      <c r="DC348" s="409"/>
      <c r="DD348" s="409"/>
      <c r="DE348" s="409"/>
      <c r="DF348" s="409"/>
      <c r="DG348" s="409"/>
      <c r="DH348" s="409"/>
      <c r="DI348" s="409"/>
      <c r="DJ348" s="409"/>
      <c r="DK348" s="409">
        <v>0</v>
      </c>
      <c r="DL348" s="409"/>
      <c r="DM348" s="409"/>
      <c r="DN348" s="409"/>
      <c r="DO348" s="409"/>
      <c r="DP348" s="409"/>
      <c r="DQ348" s="409"/>
      <c r="DR348" s="409"/>
      <c r="DS348" s="409"/>
      <c r="DT348" s="409"/>
      <c r="DU348" s="409"/>
      <c r="DV348" s="409"/>
      <c r="DW348" s="409"/>
      <c r="DX348" s="409"/>
      <c r="DY348" s="409"/>
      <c r="DZ348" s="409"/>
      <c r="EA348" s="409"/>
      <c r="EB348" s="409"/>
      <c r="EC348" s="409"/>
      <c r="ED348" s="409"/>
      <c r="EE348" s="409"/>
      <c r="EF348" s="409"/>
      <c r="EG348" s="409"/>
      <c r="EH348" s="409"/>
      <c r="EI348" s="409"/>
      <c r="EJ348" s="409"/>
      <c r="EK348" s="409"/>
      <c r="EL348" s="409"/>
      <c r="EM348" s="409"/>
      <c r="EN348" s="409"/>
      <c r="EO348" s="409"/>
      <c r="EP348" s="409"/>
      <c r="EQ348" s="409"/>
      <c r="ER348" s="409"/>
      <c r="ES348" s="409"/>
      <c r="ET348" s="409"/>
      <c r="EU348" s="409"/>
      <c r="EV348" s="409">
        <v>254</v>
      </c>
      <c r="EW348" s="409"/>
      <c r="EX348" s="409"/>
      <c r="EY348" s="409"/>
      <c r="EZ348" s="409"/>
      <c r="FA348" s="409">
        <v>0</v>
      </c>
      <c r="FB348" s="409"/>
      <c r="FC348" s="409"/>
      <c r="FD348" s="409"/>
      <c r="FE348" s="409"/>
      <c r="FF348" s="409">
        <v>0</v>
      </c>
      <c r="FG348" s="409">
        <v>0</v>
      </c>
      <c r="FH348" s="409">
        <v>0</v>
      </c>
      <c r="FI348" s="409">
        <v>0</v>
      </c>
    </row>
    <row r="349" spans="1:165">
      <c r="A349" s="409">
        <v>347</v>
      </c>
      <c r="B349" s="409" t="s">
        <v>1035</v>
      </c>
      <c r="C349" s="409" t="s">
        <v>2252</v>
      </c>
      <c r="D349" s="409" t="s">
        <v>1994</v>
      </c>
      <c r="E349" s="409" t="s">
        <v>997</v>
      </c>
      <c r="F349" s="409" t="s">
        <v>1323</v>
      </c>
      <c r="G349" s="409" t="s">
        <v>1323</v>
      </c>
      <c r="H349" s="409" t="s">
        <v>1323</v>
      </c>
      <c r="I349" s="409" t="s">
        <v>2253</v>
      </c>
      <c r="J349" s="409" t="s">
        <v>2245</v>
      </c>
      <c r="K349" s="835">
        <v>44652</v>
      </c>
      <c r="L349" s="409">
        <v>0</v>
      </c>
      <c r="M349" s="409">
        <v>0</v>
      </c>
      <c r="N349" s="409">
        <v>1.0999999999999999E-2</v>
      </c>
      <c r="O349" s="409">
        <v>1.0999999999999999E-2</v>
      </c>
      <c r="P349" s="409">
        <v>1.0999999999999999E-2</v>
      </c>
      <c r="Q349" s="409">
        <v>1.0999999999999999E-2</v>
      </c>
      <c r="R349" s="409"/>
      <c r="S349" s="409">
        <v>1097.8699999999999</v>
      </c>
      <c r="T349" s="409">
        <v>243.39</v>
      </c>
      <c r="U349" s="409"/>
      <c r="V349" s="409">
        <v>14.753859999999998</v>
      </c>
      <c r="W349" s="409">
        <v>14.753859999999998</v>
      </c>
      <c r="X349" s="409">
        <v>12.955030000000001</v>
      </c>
      <c r="Y349" s="409">
        <v>0</v>
      </c>
      <c r="Z349" s="409">
        <v>0.2737182521171736</v>
      </c>
      <c r="AA349" s="409">
        <v>0</v>
      </c>
      <c r="AB349" s="409">
        <v>0</v>
      </c>
      <c r="AC349" s="409">
        <v>0</v>
      </c>
      <c r="AD349" s="409">
        <v>2.5137261281960188</v>
      </c>
      <c r="AE349" s="409">
        <v>8.7953284704979762</v>
      </c>
      <c r="AF349" s="409">
        <v>2.6772596928138377</v>
      </c>
      <c r="AG349" s="409">
        <v>0</v>
      </c>
      <c r="AH349" s="409">
        <v>0</v>
      </c>
      <c r="AI349" s="409">
        <v>0</v>
      </c>
      <c r="AJ349" s="409">
        <v>0</v>
      </c>
      <c r="AK349" s="409">
        <v>0</v>
      </c>
      <c r="AL349" s="409">
        <v>0.11174999907954299</v>
      </c>
      <c r="AM349" s="409"/>
      <c r="AN349" s="409">
        <v>1.8885585621729199E-2</v>
      </c>
      <c r="AO349" s="409">
        <v>0</v>
      </c>
      <c r="AP349" s="409">
        <v>0</v>
      </c>
      <c r="AQ349" s="409">
        <v>0</v>
      </c>
      <c r="AR349" s="409">
        <v>0</v>
      </c>
      <c r="AS349" s="409">
        <v>0</v>
      </c>
      <c r="AT349" s="409">
        <v>0</v>
      </c>
      <c r="AU349" s="409">
        <v>0</v>
      </c>
      <c r="AV349" s="409">
        <v>0</v>
      </c>
      <c r="AW349" s="409">
        <v>0</v>
      </c>
      <c r="AX349" s="409">
        <v>0</v>
      </c>
      <c r="AY349" s="409">
        <v>0</v>
      </c>
      <c r="AZ349" s="409">
        <v>0</v>
      </c>
      <c r="BA349" s="409"/>
      <c r="BB349" s="409">
        <v>0</v>
      </c>
      <c r="BC349" s="409">
        <v>0</v>
      </c>
      <c r="BD349" s="409">
        <v>0</v>
      </c>
      <c r="BE349" s="409">
        <v>0</v>
      </c>
      <c r="BF349" s="409">
        <v>0</v>
      </c>
      <c r="BG349" s="409">
        <v>0.36321262271964116</v>
      </c>
      <c r="BH349" s="409">
        <v>0</v>
      </c>
      <c r="BI349" s="409">
        <v>0</v>
      </c>
      <c r="BJ349" s="409">
        <v>0</v>
      </c>
      <c r="BK349" s="409">
        <v>0</v>
      </c>
      <c r="BL349" s="409">
        <v>0</v>
      </c>
      <c r="BM349" s="409"/>
      <c r="BN349" s="409"/>
      <c r="BO349" s="409"/>
      <c r="BP349" s="409"/>
      <c r="BQ349" s="409"/>
      <c r="BR349" s="409"/>
      <c r="BS349" s="409"/>
      <c r="BT349" s="409"/>
      <c r="BU349" s="409"/>
      <c r="BV349" s="409">
        <v>3.0404723155334787</v>
      </c>
      <c r="BW349" s="409"/>
      <c r="BX349" s="409"/>
      <c r="BY349" s="409"/>
      <c r="BZ349" s="409"/>
      <c r="CA349" s="409"/>
      <c r="CB349" s="409"/>
      <c r="CC349" s="409"/>
      <c r="CD349" s="409"/>
      <c r="CE349" s="409"/>
      <c r="CF349" s="409"/>
      <c r="CG349" s="409"/>
      <c r="CH349" s="409"/>
      <c r="CI349" s="409">
        <v>11.7773</v>
      </c>
      <c r="CJ349" s="409">
        <v>-3.0065599999999968</v>
      </c>
      <c r="CK349" s="409"/>
      <c r="CL349" s="409"/>
      <c r="CM349" s="409"/>
      <c r="CN349" s="409"/>
      <c r="CO349" s="409">
        <v>-1.8918899999999987</v>
      </c>
      <c r="CP349" s="409">
        <v>9.3060000000000087E-2</v>
      </c>
      <c r="CQ349" s="409">
        <v>30</v>
      </c>
      <c r="CR349" s="409">
        <v>0.21730289944307657</v>
      </c>
      <c r="CS349" s="409">
        <v>0</v>
      </c>
      <c r="CT349" s="409">
        <v>0</v>
      </c>
      <c r="CU349" s="409">
        <v>0</v>
      </c>
      <c r="CV349" s="409">
        <v>0</v>
      </c>
      <c r="CW349" s="409">
        <v>0</v>
      </c>
      <c r="CX349" s="409">
        <v>0</v>
      </c>
      <c r="CY349" s="409">
        <v>0</v>
      </c>
      <c r="CZ349" s="409">
        <v>9.4241146627595196E-2</v>
      </c>
      <c r="DA349" s="409">
        <v>0</v>
      </c>
      <c r="DB349" s="409">
        <v>0</v>
      </c>
      <c r="DC349" s="409">
        <v>0.12264501688034191</v>
      </c>
      <c r="DD349" s="409">
        <v>0</v>
      </c>
      <c r="DE349" s="409">
        <v>0</v>
      </c>
      <c r="DF349" s="409">
        <v>0</v>
      </c>
      <c r="DG349" s="409">
        <v>1.6638736378159547E-2</v>
      </c>
      <c r="DH349" s="409">
        <v>0</v>
      </c>
      <c r="DI349" s="409">
        <v>-1.9961945641077117E-3</v>
      </c>
      <c r="DJ349" s="409"/>
      <c r="DK349" s="409">
        <v>0</v>
      </c>
      <c r="DL349" s="409">
        <v>0</v>
      </c>
      <c r="DM349" s="409">
        <v>0</v>
      </c>
      <c r="DN349" s="409">
        <v>0</v>
      </c>
      <c r="DO349" s="409">
        <v>-6.2680040510119939E-4</v>
      </c>
      <c r="DP349" s="409">
        <v>-1.1124241808529306E-3</v>
      </c>
      <c r="DQ349" s="409">
        <v>0</v>
      </c>
      <c r="DR349" s="409">
        <v>-1.2486581292958848E-2</v>
      </c>
      <c r="DS349" s="409"/>
      <c r="DT349" s="409"/>
      <c r="DU349" s="409"/>
      <c r="DV349" s="409">
        <v>8.7953284704979762</v>
      </c>
      <c r="DW349" s="409">
        <v>0</v>
      </c>
      <c r="DX349" s="409">
        <v>0</v>
      </c>
      <c r="DY349" s="409">
        <v>-1.8918899999999983</v>
      </c>
      <c r="DZ349" s="409">
        <v>9.3059999999999921E-2</v>
      </c>
      <c r="EA349" s="409">
        <v>0</v>
      </c>
      <c r="EB349" s="409">
        <v>0</v>
      </c>
      <c r="EC349" s="409">
        <v>-2.0160961026650837</v>
      </c>
      <c r="ED349" s="409">
        <v>0</v>
      </c>
      <c r="EE349" s="409">
        <v>0</v>
      </c>
      <c r="EF349" s="409">
        <v>0</v>
      </c>
      <c r="EG349" s="409">
        <v>0</v>
      </c>
      <c r="EH349" s="409">
        <v>0</v>
      </c>
      <c r="EI349" s="409">
        <v>0</v>
      </c>
      <c r="EJ349" s="409">
        <v>0</v>
      </c>
      <c r="EK349" s="409">
        <v>0</v>
      </c>
      <c r="EL349" s="409">
        <v>0</v>
      </c>
      <c r="EM349" s="409">
        <v>0</v>
      </c>
      <c r="EN349" s="409">
        <v>0</v>
      </c>
      <c r="EO349" s="409">
        <v>0</v>
      </c>
      <c r="EP349" s="409">
        <v>0</v>
      </c>
      <c r="EQ349" s="409">
        <v>0</v>
      </c>
      <c r="ER349" s="409">
        <v>0</v>
      </c>
      <c r="ES349" s="409">
        <v>0</v>
      </c>
      <c r="ET349" s="409">
        <v>0</v>
      </c>
      <c r="EU349" s="409">
        <v>0</v>
      </c>
      <c r="EV349" s="409">
        <v>254</v>
      </c>
      <c r="EW349" s="409">
        <v>0</v>
      </c>
      <c r="EX349" s="409">
        <v>0</v>
      </c>
      <c r="EY349" s="409">
        <v>0</v>
      </c>
      <c r="EZ349" s="409"/>
      <c r="FA349" s="409">
        <v>0</v>
      </c>
      <c r="FB349" s="409"/>
      <c r="FC349" s="409"/>
      <c r="FD349" s="409"/>
      <c r="FE349" s="409"/>
      <c r="FF349" s="409">
        <v>0</v>
      </c>
      <c r="FG349" s="409">
        <v>0</v>
      </c>
      <c r="FH349" s="409">
        <v>0</v>
      </c>
      <c r="FI349" s="409">
        <v>0</v>
      </c>
    </row>
    <row r="350" spans="1:165">
      <c r="A350" s="409">
        <v>348</v>
      </c>
      <c r="B350" s="409" t="s">
        <v>1035</v>
      </c>
      <c r="C350" s="409" t="s">
        <v>2244</v>
      </c>
      <c r="D350" s="409" t="s">
        <v>2254</v>
      </c>
      <c r="E350" s="409" t="s">
        <v>973</v>
      </c>
      <c r="F350" s="409" t="s">
        <v>1323</v>
      </c>
      <c r="G350" s="409" t="s">
        <v>1323</v>
      </c>
      <c r="H350" s="409" t="s">
        <v>1323</v>
      </c>
      <c r="I350" s="409" t="s">
        <v>1323</v>
      </c>
      <c r="J350" s="409" t="s">
        <v>2245</v>
      </c>
      <c r="K350" s="835">
        <v>44652</v>
      </c>
      <c r="L350" s="409">
        <v>0</v>
      </c>
      <c r="M350" s="409">
        <v>0</v>
      </c>
      <c r="N350" s="409">
        <v>184.376</v>
      </c>
      <c r="O350" s="409">
        <v>184.376</v>
      </c>
      <c r="P350" s="409">
        <v>184.376</v>
      </c>
      <c r="Q350" s="409">
        <v>184.376</v>
      </c>
      <c r="R350" s="409"/>
      <c r="S350" s="409">
        <v>597.01</v>
      </c>
      <c r="T350" s="409">
        <v>243.39</v>
      </c>
      <c r="U350" s="409"/>
      <c r="V350" s="409">
        <v>154949.59039999999</v>
      </c>
      <c r="W350" s="409">
        <v>154949.59039999999</v>
      </c>
      <c r="X350" s="409">
        <v>140361.76128000001</v>
      </c>
      <c r="Y350" s="409">
        <v>0</v>
      </c>
      <c r="Z350" s="409">
        <v>4587.9160411232733</v>
      </c>
      <c r="AA350" s="409">
        <v>0</v>
      </c>
      <c r="AB350" s="409">
        <v>0</v>
      </c>
      <c r="AC350" s="409">
        <v>0</v>
      </c>
      <c r="AD350" s="409">
        <v>21606.851160871378</v>
      </c>
      <c r="AE350" s="409">
        <v>75601.2630416756</v>
      </c>
      <c r="AF350" s="409">
        <v>44874.766647476747</v>
      </c>
      <c r="AG350" s="409">
        <v>0</v>
      </c>
      <c r="AH350" s="409">
        <v>0</v>
      </c>
      <c r="AI350" s="409">
        <v>0</v>
      </c>
      <c r="AJ350" s="409">
        <v>0</v>
      </c>
      <c r="AK350" s="409">
        <v>0</v>
      </c>
      <c r="AL350" s="409">
        <v>1873.0925300263473</v>
      </c>
      <c r="AM350" s="409"/>
      <c r="AN350" s="409">
        <v>316.54988496290389</v>
      </c>
      <c r="AO350" s="409">
        <v>0</v>
      </c>
      <c r="AP350" s="409">
        <v>0</v>
      </c>
      <c r="AQ350" s="409">
        <v>0</v>
      </c>
      <c r="AR350" s="409">
        <v>0</v>
      </c>
      <c r="AS350" s="409">
        <v>0</v>
      </c>
      <c r="AT350" s="409">
        <v>0</v>
      </c>
      <c r="AU350" s="409">
        <v>0</v>
      </c>
      <c r="AV350" s="409">
        <v>0</v>
      </c>
      <c r="AW350" s="409">
        <v>0</v>
      </c>
      <c r="AX350" s="409">
        <v>0</v>
      </c>
      <c r="AY350" s="409">
        <v>0</v>
      </c>
      <c r="AZ350" s="409">
        <v>0</v>
      </c>
      <c r="BA350" s="409"/>
      <c r="BB350" s="409">
        <v>0</v>
      </c>
      <c r="BC350" s="409">
        <v>0</v>
      </c>
      <c r="BD350" s="409">
        <v>0</v>
      </c>
      <c r="BE350" s="409">
        <v>0</v>
      </c>
      <c r="BF350" s="409">
        <v>0</v>
      </c>
      <c r="BG350" s="409">
        <v>6087.9718660505969</v>
      </c>
      <c r="BH350" s="409">
        <v>0</v>
      </c>
      <c r="BI350" s="409">
        <v>98.94</v>
      </c>
      <c r="BJ350" s="409">
        <v>456.72</v>
      </c>
      <c r="BK350" s="409">
        <v>0</v>
      </c>
      <c r="BL350" s="409">
        <v>1537</v>
      </c>
      <c r="BM350" s="409"/>
      <c r="BN350" s="409"/>
      <c r="BO350" s="409"/>
      <c r="BP350" s="409"/>
      <c r="BQ350" s="409"/>
      <c r="BR350" s="409">
        <v>16844.591359999999</v>
      </c>
      <c r="BS350" s="409"/>
      <c r="BT350" s="409"/>
      <c r="BU350" s="409"/>
      <c r="BV350" s="409">
        <v>50962.738513527343</v>
      </c>
      <c r="BW350" s="409"/>
      <c r="BX350" s="409"/>
      <c r="BY350" s="409"/>
      <c r="BZ350" s="409"/>
      <c r="CA350" s="409"/>
      <c r="CB350" s="409"/>
      <c r="CC350" s="409"/>
      <c r="CD350" s="409"/>
      <c r="CE350" s="409"/>
      <c r="CF350" s="409"/>
      <c r="CG350" s="409"/>
      <c r="CH350" s="409"/>
      <c r="CI350" s="409">
        <v>123519.8496</v>
      </c>
      <c r="CJ350" s="409">
        <v>-12835.451199999996</v>
      </c>
      <c r="CK350" s="409"/>
      <c r="CL350" s="409"/>
      <c r="CM350" s="409"/>
      <c r="CN350" s="409"/>
      <c r="CO350" s="409">
        <v>-16147.650079999998</v>
      </c>
      <c r="CP350" s="409">
        <v>1559.8209600000016</v>
      </c>
      <c r="CQ350" s="409">
        <v>30</v>
      </c>
      <c r="CR350" s="409">
        <v>2742.3759914489347</v>
      </c>
      <c r="CS350" s="409">
        <v>0</v>
      </c>
      <c r="CT350" s="409">
        <v>0</v>
      </c>
      <c r="CU350" s="409">
        <v>0</v>
      </c>
      <c r="CV350" s="409">
        <v>0</v>
      </c>
      <c r="CW350" s="409">
        <v>0</v>
      </c>
      <c r="CX350" s="409">
        <v>0</v>
      </c>
      <c r="CY350" s="409">
        <v>0</v>
      </c>
      <c r="CZ350" s="409">
        <v>810.05420820199288</v>
      </c>
      <c r="DA350" s="409">
        <v>0</v>
      </c>
      <c r="DB350" s="409">
        <v>0</v>
      </c>
      <c r="DC350" s="409">
        <v>2055.7088756663579</v>
      </c>
      <c r="DD350" s="409">
        <v>0</v>
      </c>
      <c r="DE350" s="409">
        <v>0</v>
      </c>
      <c r="DF350" s="409">
        <v>0</v>
      </c>
      <c r="DG350" s="409">
        <v>278.8894234963218</v>
      </c>
      <c r="DH350" s="409">
        <v>0</v>
      </c>
      <c r="DI350" s="409">
        <v>-33.459124450175295</v>
      </c>
      <c r="DJ350" s="409"/>
      <c r="DK350" s="409">
        <v>0</v>
      </c>
      <c r="DL350" s="409">
        <v>0</v>
      </c>
      <c r="DM350" s="409">
        <v>0</v>
      </c>
      <c r="DN350" s="409">
        <v>0</v>
      </c>
      <c r="DO350" s="409">
        <v>-10.506086499176263</v>
      </c>
      <c r="DP350" s="409">
        <v>-18.645847342630873</v>
      </c>
      <c r="DQ350" s="409">
        <v>0</v>
      </c>
      <c r="DR350" s="409">
        <v>-339.66545762373823</v>
      </c>
      <c r="DS350" s="409"/>
      <c r="DT350" s="409"/>
      <c r="DU350" s="409"/>
      <c r="DV350" s="409">
        <v>75601.2630416756</v>
      </c>
      <c r="DW350" s="409">
        <v>0</v>
      </c>
      <c r="DX350" s="409">
        <v>0</v>
      </c>
      <c r="DY350" s="409">
        <v>-16147.650079999992</v>
      </c>
      <c r="DZ350" s="409">
        <v>1559.8209600000046</v>
      </c>
      <c r="EA350" s="409">
        <v>0</v>
      </c>
      <c r="EB350" s="409">
        <v>0</v>
      </c>
      <c r="EC350" s="409">
        <v>-17329.587210544538</v>
      </c>
      <c r="ED350" s="409">
        <v>0</v>
      </c>
      <c r="EE350" s="409">
        <v>0</v>
      </c>
      <c r="EF350" s="409">
        <v>0</v>
      </c>
      <c r="EG350" s="409">
        <v>0</v>
      </c>
      <c r="EH350" s="409">
        <v>0</v>
      </c>
      <c r="EI350" s="409">
        <v>0</v>
      </c>
      <c r="EJ350" s="409">
        <v>0</v>
      </c>
      <c r="EK350" s="409">
        <v>0</v>
      </c>
      <c r="EL350" s="409">
        <v>0</v>
      </c>
      <c r="EM350" s="409">
        <v>0</v>
      </c>
      <c r="EN350" s="409">
        <v>0</v>
      </c>
      <c r="EO350" s="409">
        <v>0</v>
      </c>
      <c r="EP350" s="409">
        <v>0</v>
      </c>
      <c r="EQ350" s="409">
        <v>0</v>
      </c>
      <c r="ER350" s="409">
        <v>0</v>
      </c>
      <c r="ES350" s="409">
        <v>0</v>
      </c>
      <c r="ET350" s="409">
        <v>0</v>
      </c>
      <c r="EU350" s="409">
        <v>0</v>
      </c>
      <c r="EV350" s="409">
        <v>254</v>
      </c>
      <c r="EW350" s="409">
        <v>0</v>
      </c>
      <c r="EX350" s="409">
        <v>0</v>
      </c>
      <c r="EY350" s="409">
        <v>0</v>
      </c>
      <c r="EZ350" s="409"/>
      <c r="FA350" s="409">
        <v>0</v>
      </c>
      <c r="FB350" s="409"/>
      <c r="FC350" s="409"/>
      <c r="FD350" s="409"/>
      <c r="FE350" s="409"/>
      <c r="FF350" s="409">
        <v>0</v>
      </c>
      <c r="FG350" s="409">
        <v>0</v>
      </c>
      <c r="FH350" s="409">
        <v>0</v>
      </c>
      <c r="FI350" s="409">
        <v>0</v>
      </c>
    </row>
    <row r="351" spans="1:165">
      <c r="A351" s="409">
        <v>349</v>
      </c>
      <c r="B351" s="409" t="s">
        <v>2246</v>
      </c>
      <c r="C351" s="409" t="s">
        <v>2244</v>
      </c>
      <c r="D351" s="409" t="s">
        <v>2254</v>
      </c>
      <c r="E351" s="409" t="s">
        <v>973</v>
      </c>
      <c r="F351" s="409" t="s">
        <v>1323</v>
      </c>
      <c r="G351" s="409" t="s">
        <v>1323</v>
      </c>
      <c r="H351" s="409" t="s">
        <v>1323</v>
      </c>
      <c r="I351" s="409" t="s">
        <v>1323</v>
      </c>
      <c r="J351" s="409" t="s">
        <v>2245</v>
      </c>
      <c r="K351" s="835">
        <v>44652</v>
      </c>
      <c r="L351" s="409">
        <v>0</v>
      </c>
      <c r="M351" s="409">
        <v>0</v>
      </c>
      <c r="N351" s="409">
        <v>12.340999999999999</v>
      </c>
      <c r="O351" s="409">
        <v>12.340999999999999</v>
      </c>
      <c r="P351" s="409">
        <v>12.340999999999999</v>
      </c>
      <c r="Q351" s="409">
        <v>12.340999999999999</v>
      </c>
      <c r="R351" s="409"/>
      <c r="S351" s="409">
        <v>597.01</v>
      </c>
      <c r="T351" s="409">
        <v>243.39</v>
      </c>
      <c r="U351" s="409"/>
      <c r="V351" s="409">
        <v>10371.376399999999</v>
      </c>
      <c r="W351" s="409">
        <v>10371.376399999999</v>
      </c>
      <c r="X351" s="409">
        <v>9394.9564799999989</v>
      </c>
      <c r="Y351" s="409">
        <v>0</v>
      </c>
      <c r="Z351" s="409">
        <v>307.08699539800358</v>
      </c>
      <c r="AA351" s="409">
        <v>0</v>
      </c>
      <c r="AB351" s="409">
        <v>0</v>
      </c>
      <c r="AC351" s="409">
        <v>0</v>
      </c>
      <c r="AD351" s="409">
        <v>1446.2302586904677</v>
      </c>
      <c r="AE351" s="409">
        <v>5060.2854340983558</v>
      </c>
      <c r="AF351" s="409">
        <v>3003.6419880923249</v>
      </c>
      <c r="AG351" s="409">
        <v>0</v>
      </c>
      <c r="AH351" s="409">
        <v>0</v>
      </c>
      <c r="AI351" s="409">
        <v>0</v>
      </c>
      <c r="AJ351" s="409">
        <v>0</v>
      </c>
      <c r="AK351" s="409">
        <v>0</v>
      </c>
      <c r="AL351" s="409">
        <v>125.37333987642181</v>
      </c>
      <c r="AM351" s="409"/>
      <c r="AN351" s="409">
        <v>21.187910196160004</v>
      </c>
      <c r="AO351" s="409">
        <v>0</v>
      </c>
      <c r="AP351" s="409">
        <v>0</v>
      </c>
      <c r="AQ351" s="409">
        <v>0</v>
      </c>
      <c r="AR351" s="409">
        <v>0</v>
      </c>
      <c r="AS351" s="409">
        <v>0</v>
      </c>
      <c r="AT351" s="409">
        <v>0</v>
      </c>
      <c r="AU351" s="409">
        <v>0</v>
      </c>
      <c r="AV351" s="409">
        <v>0</v>
      </c>
      <c r="AW351" s="409">
        <v>0</v>
      </c>
      <c r="AX351" s="409">
        <v>0</v>
      </c>
      <c r="AY351" s="409">
        <v>0</v>
      </c>
      <c r="AZ351" s="409">
        <v>0</v>
      </c>
      <c r="BA351" s="409"/>
      <c r="BB351" s="409">
        <v>0</v>
      </c>
      <c r="BC351" s="409">
        <v>0</v>
      </c>
      <c r="BD351" s="409">
        <v>0</v>
      </c>
      <c r="BE351" s="409">
        <v>0</v>
      </c>
      <c r="BF351" s="409">
        <v>0</v>
      </c>
      <c r="BG351" s="409">
        <v>407.49154336209921</v>
      </c>
      <c r="BH351" s="409">
        <v>0</v>
      </c>
      <c r="BI351" s="409">
        <v>0</v>
      </c>
      <c r="BJ351" s="409">
        <v>0</v>
      </c>
      <c r="BK351" s="409">
        <v>0</v>
      </c>
      <c r="BL351" s="409">
        <v>7</v>
      </c>
      <c r="BM351" s="409"/>
      <c r="BN351" s="409"/>
      <c r="BO351" s="409"/>
      <c r="BP351" s="409"/>
      <c r="BQ351" s="409"/>
      <c r="BR351" s="409">
        <v>1127.4737599999996</v>
      </c>
      <c r="BS351" s="409"/>
      <c r="BT351" s="409"/>
      <c r="BU351" s="409"/>
      <c r="BV351" s="409">
        <v>3411.133531454424</v>
      </c>
      <c r="BW351" s="409"/>
      <c r="BX351" s="409"/>
      <c r="BY351" s="409"/>
      <c r="BZ351" s="409"/>
      <c r="CA351" s="409"/>
      <c r="CB351" s="409"/>
      <c r="CC351" s="409"/>
      <c r="CD351" s="409"/>
      <c r="CE351" s="409"/>
      <c r="CF351" s="409"/>
      <c r="CG351" s="409"/>
      <c r="CH351" s="409"/>
      <c r="CI351" s="409">
        <v>8266.8127999999997</v>
      </c>
      <c r="CJ351" s="409">
        <v>-860.00375000000167</v>
      </c>
      <c r="CK351" s="409"/>
      <c r="CL351" s="409"/>
      <c r="CM351" s="409"/>
      <c r="CN351" s="409"/>
      <c r="CO351" s="409">
        <v>-1080.8247799999997</v>
      </c>
      <c r="CP351" s="409">
        <v>104.4048600000001</v>
      </c>
      <c r="CQ351" s="409">
        <v>30</v>
      </c>
      <c r="CR351" s="409">
        <v>183.55784977693111</v>
      </c>
      <c r="CS351" s="409">
        <v>0</v>
      </c>
      <c r="CT351" s="409">
        <v>0</v>
      </c>
      <c r="CU351" s="409">
        <v>0</v>
      </c>
      <c r="CV351" s="409">
        <v>0</v>
      </c>
      <c r="CW351" s="409">
        <v>0</v>
      </c>
      <c r="CX351" s="409">
        <v>0</v>
      </c>
      <c r="CY351" s="409">
        <v>0</v>
      </c>
      <c r="CZ351" s="409">
        <v>54.220066513107895</v>
      </c>
      <c r="DA351" s="409">
        <v>0</v>
      </c>
      <c r="DB351" s="409">
        <v>0</v>
      </c>
      <c r="DC351" s="409">
        <v>137.59655939275444</v>
      </c>
      <c r="DD351" s="409">
        <v>0</v>
      </c>
      <c r="DE351" s="409">
        <v>0</v>
      </c>
      <c r="DF351" s="409">
        <v>0</v>
      </c>
      <c r="DG351" s="409">
        <v>18.66714960389703</v>
      </c>
      <c r="DH351" s="409">
        <v>0</v>
      </c>
      <c r="DI351" s="409">
        <v>-2.2395488286957175</v>
      </c>
      <c r="DJ351" s="409"/>
      <c r="DK351" s="409">
        <v>0</v>
      </c>
      <c r="DL351" s="409">
        <v>0</v>
      </c>
      <c r="DM351" s="409">
        <v>0</v>
      </c>
      <c r="DN351" s="409">
        <v>0</v>
      </c>
      <c r="DO351" s="409">
        <v>-0.70321307266853239</v>
      </c>
      <c r="DP351" s="409">
        <v>-1.2480388014460004</v>
      </c>
      <c r="DQ351" s="409">
        <v>0</v>
      </c>
      <c r="DR351" s="409">
        <v>-22.735125030017755</v>
      </c>
      <c r="DS351" s="409"/>
      <c r="DT351" s="409"/>
      <c r="DU351" s="409"/>
      <c r="DV351" s="409">
        <v>5060.2854340983558</v>
      </c>
      <c r="DW351" s="409">
        <v>0</v>
      </c>
      <c r="DX351" s="409">
        <v>0</v>
      </c>
      <c r="DY351" s="409">
        <v>-1080.8247799999999</v>
      </c>
      <c r="DZ351" s="409">
        <v>104.4048600000001</v>
      </c>
      <c r="EA351" s="409">
        <v>0</v>
      </c>
      <c r="EB351" s="409">
        <v>0</v>
      </c>
      <c r="EC351" s="409">
        <v>-1159.936411275492</v>
      </c>
      <c r="ED351" s="409">
        <v>0</v>
      </c>
      <c r="EE351" s="409">
        <v>0</v>
      </c>
      <c r="EF351" s="409">
        <v>0</v>
      </c>
      <c r="EG351" s="409">
        <v>0</v>
      </c>
      <c r="EH351" s="409">
        <v>0</v>
      </c>
      <c r="EI351" s="409">
        <v>0</v>
      </c>
      <c r="EJ351" s="409">
        <v>0</v>
      </c>
      <c r="EK351" s="409">
        <v>0</v>
      </c>
      <c r="EL351" s="409">
        <v>0</v>
      </c>
      <c r="EM351" s="409">
        <v>0</v>
      </c>
      <c r="EN351" s="409">
        <v>0</v>
      </c>
      <c r="EO351" s="409">
        <v>0</v>
      </c>
      <c r="EP351" s="409">
        <v>0</v>
      </c>
      <c r="EQ351" s="409">
        <v>0</v>
      </c>
      <c r="ER351" s="409">
        <v>0</v>
      </c>
      <c r="ES351" s="409">
        <v>0</v>
      </c>
      <c r="ET351" s="409">
        <v>0</v>
      </c>
      <c r="EU351" s="409">
        <v>0</v>
      </c>
      <c r="EV351" s="409">
        <v>254</v>
      </c>
      <c r="EW351" s="409">
        <v>0</v>
      </c>
      <c r="EX351" s="409">
        <v>0</v>
      </c>
      <c r="EY351" s="409">
        <v>0</v>
      </c>
      <c r="EZ351" s="409"/>
      <c r="FA351" s="409">
        <v>0</v>
      </c>
      <c r="FB351" s="409"/>
      <c r="FC351" s="409"/>
      <c r="FD351" s="409"/>
      <c r="FE351" s="409"/>
      <c r="FF351" s="409">
        <v>0</v>
      </c>
      <c r="FG351" s="409">
        <v>0</v>
      </c>
      <c r="FH351" s="409">
        <v>0</v>
      </c>
      <c r="FI351" s="409">
        <v>0</v>
      </c>
    </row>
    <row r="352" spans="1:165">
      <c r="A352" s="409">
        <v>350</v>
      </c>
      <c r="B352" s="409" t="s">
        <v>1035</v>
      </c>
      <c r="C352" s="409" t="s">
        <v>2252</v>
      </c>
      <c r="D352" s="409" t="s">
        <v>2254</v>
      </c>
      <c r="E352" s="409" t="s">
        <v>973</v>
      </c>
      <c r="F352" s="409" t="s">
        <v>1323</v>
      </c>
      <c r="G352" s="409" t="s">
        <v>1323</v>
      </c>
      <c r="H352" s="409" t="s">
        <v>1323</v>
      </c>
      <c r="I352" s="409" t="s">
        <v>972</v>
      </c>
      <c r="J352" s="409" t="s">
        <v>2245</v>
      </c>
      <c r="K352" s="835">
        <v>44652</v>
      </c>
      <c r="L352" s="409">
        <v>0</v>
      </c>
      <c r="M352" s="409">
        <v>0</v>
      </c>
      <c r="N352" s="409">
        <v>2.7E-2</v>
      </c>
      <c r="O352" s="409">
        <v>2.7E-2</v>
      </c>
      <c r="P352" s="409">
        <v>2.7E-2</v>
      </c>
      <c r="Q352" s="409">
        <v>2.7E-2</v>
      </c>
      <c r="R352" s="409"/>
      <c r="S352" s="409">
        <v>1298.56</v>
      </c>
      <c r="T352" s="409">
        <v>214.18</v>
      </c>
      <c r="U352" s="409"/>
      <c r="V352" s="409">
        <v>40.843979999999995</v>
      </c>
      <c r="W352" s="409">
        <v>40.843979999999995</v>
      </c>
      <c r="X352" s="409">
        <v>35.445869999999999</v>
      </c>
      <c r="Y352" s="409">
        <v>0</v>
      </c>
      <c r="Z352" s="409">
        <v>0.5912314245730953</v>
      </c>
      <c r="AA352" s="409">
        <v>0</v>
      </c>
      <c r="AB352" s="409">
        <v>0</v>
      </c>
      <c r="AC352" s="409">
        <v>0</v>
      </c>
      <c r="AD352" s="409">
        <v>7.4246815565008832</v>
      </c>
      <c r="AE352" s="409">
        <v>25.978477022569681</v>
      </c>
      <c r="AF352" s="409">
        <v>5.7828809364778886</v>
      </c>
      <c r="AG352" s="409">
        <v>0</v>
      </c>
      <c r="AH352" s="409">
        <v>0</v>
      </c>
      <c r="AI352" s="409">
        <v>0</v>
      </c>
      <c r="AJ352" s="409">
        <v>0</v>
      </c>
      <c r="AK352" s="409">
        <v>0</v>
      </c>
      <c r="AL352" s="409">
        <v>0.24137999801181262</v>
      </c>
      <c r="AM352" s="409"/>
      <c r="AN352" s="409">
        <v>4.0792864942935179E-2</v>
      </c>
      <c r="AO352" s="409">
        <v>0</v>
      </c>
      <c r="AP352" s="409">
        <v>0</v>
      </c>
      <c r="AQ352" s="409">
        <v>0</v>
      </c>
      <c r="AR352" s="409">
        <v>0</v>
      </c>
      <c r="AS352" s="409">
        <v>0</v>
      </c>
      <c r="AT352" s="409">
        <v>0</v>
      </c>
      <c r="AU352" s="409">
        <v>0</v>
      </c>
      <c r="AV352" s="409">
        <v>0</v>
      </c>
      <c r="AW352" s="409">
        <v>0</v>
      </c>
      <c r="AX352" s="409">
        <v>0</v>
      </c>
      <c r="AY352" s="409">
        <v>0</v>
      </c>
      <c r="AZ352" s="409">
        <v>0</v>
      </c>
      <c r="BA352" s="409"/>
      <c r="BB352" s="409">
        <v>0</v>
      </c>
      <c r="BC352" s="409">
        <v>0</v>
      </c>
      <c r="BD352" s="409">
        <v>0</v>
      </c>
      <c r="BE352" s="409">
        <v>0</v>
      </c>
      <c r="BF352" s="409">
        <v>0</v>
      </c>
      <c r="BG352" s="409">
        <v>0.78453926507442506</v>
      </c>
      <c r="BH352" s="409">
        <v>0</v>
      </c>
      <c r="BI352" s="409">
        <v>0</v>
      </c>
      <c r="BJ352" s="409">
        <v>0</v>
      </c>
      <c r="BK352" s="409">
        <v>0</v>
      </c>
      <c r="BL352" s="409">
        <v>0</v>
      </c>
      <c r="BM352" s="409"/>
      <c r="BN352" s="409"/>
      <c r="BO352" s="409"/>
      <c r="BP352" s="409"/>
      <c r="BQ352" s="409"/>
      <c r="BR352" s="409"/>
      <c r="BS352" s="409"/>
      <c r="BT352" s="409"/>
      <c r="BU352" s="409"/>
      <c r="BV352" s="409">
        <v>6.5674202015523138</v>
      </c>
      <c r="BW352" s="409"/>
      <c r="BX352" s="409"/>
      <c r="BY352" s="409"/>
      <c r="BZ352" s="409"/>
      <c r="CA352" s="409"/>
      <c r="CB352" s="409"/>
      <c r="CC352" s="409"/>
      <c r="CD352" s="409"/>
      <c r="CE352" s="409"/>
      <c r="CF352" s="409"/>
      <c r="CG352" s="409"/>
      <c r="CH352" s="409"/>
      <c r="CI352" s="409">
        <v>39.384299999999996</v>
      </c>
      <c r="CJ352" s="409">
        <v>-1.4896799999999928</v>
      </c>
      <c r="CK352" s="409"/>
      <c r="CL352" s="409"/>
      <c r="CM352" s="409"/>
      <c r="CN352" s="409"/>
      <c r="CO352" s="409">
        <v>-5.5992599999999966</v>
      </c>
      <c r="CP352" s="409">
        <v>0.20114999999999969</v>
      </c>
      <c r="CQ352" s="409">
        <v>30</v>
      </c>
      <c r="CR352" s="409">
        <v>0.55684057031876044</v>
      </c>
      <c r="CS352" s="409">
        <v>0</v>
      </c>
      <c r="CT352" s="409">
        <v>0</v>
      </c>
      <c r="CU352" s="409">
        <v>0</v>
      </c>
      <c r="CV352" s="409">
        <v>0</v>
      </c>
      <c r="CW352" s="409">
        <v>0</v>
      </c>
      <c r="CX352" s="409">
        <v>0</v>
      </c>
      <c r="CY352" s="409">
        <v>0</v>
      </c>
      <c r="CZ352" s="409">
        <v>0.27835590177501235</v>
      </c>
      <c r="DA352" s="409">
        <v>0</v>
      </c>
      <c r="DB352" s="409">
        <v>0</v>
      </c>
      <c r="DC352" s="409">
        <v>0.26491323646152942</v>
      </c>
      <c r="DD352" s="409">
        <v>0</v>
      </c>
      <c r="DE352" s="409">
        <v>0</v>
      </c>
      <c r="DF352" s="409">
        <v>0</v>
      </c>
      <c r="DG352" s="409">
        <v>3.5939670576825677E-2</v>
      </c>
      <c r="DH352" s="409">
        <v>0</v>
      </c>
      <c r="DI352" s="409">
        <v>-4.3117802584722309E-3</v>
      </c>
      <c r="DJ352" s="409"/>
      <c r="DK352" s="409">
        <v>0</v>
      </c>
      <c r="DL352" s="409">
        <v>0</v>
      </c>
      <c r="DM352" s="409">
        <v>0</v>
      </c>
      <c r="DN352" s="409">
        <v>0</v>
      </c>
      <c r="DO352" s="409">
        <v>-1.3538888750173617E-3</v>
      </c>
      <c r="DP352" s="409">
        <v>-2.4028362306424758E-3</v>
      </c>
      <c r="DQ352" s="409">
        <v>0</v>
      </c>
      <c r="DR352" s="409">
        <v>-1.4299733130475868E-2</v>
      </c>
      <c r="DS352" s="409"/>
      <c r="DT352" s="409"/>
      <c r="DU352" s="409"/>
      <c r="DV352" s="409">
        <v>25.978477022569681</v>
      </c>
      <c r="DW352" s="409">
        <v>0</v>
      </c>
      <c r="DX352" s="409">
        <v>0</v>
      </c>
      <c r="DY352" s="409">
        <v>-5.5992599999999939</v>
      </c>
      <c r="DZ352" s="409">
        <v>0.20114999999999927</v>
      </c>
      <c r="EA352" s="409">
        <v>0</v>
      </c>
      <c r="EB352" s="409">
        <v>0</v>
      </c>
      <c r="EC352" s="409">
        <v>-5.9548778029220841</v>
      </c>
      <c r="ED352" s="409">
        <v>0</v>
      </c>
      <c r="EE352" s="409">
        <v>0</v>
      </c>
      <c r="EF352" s="409">
        <v>0</v>
      </c>
      <c r="EG352" s="409">
        <v>0</v>
      </c>
      <c r="EH352" s="409">
        <v>0</v>
      </c>
      <c r="EI352" s="409">
        <v>0</v>
      </c>
      <c r="EJ352" s="409">
        <v>0</v>
      </c>
      <c r="EK352" s="409">
        <v>0</v>
      </c>
      <c r="EL352" s="409">
        <v>0</v>
      </c>
      <c r="EM352" s="409">
        <v>0</v>
      </c>
      <c r="EN352" s="409">
        <v>0</v>
      </c>
      <c r="EO352" s="409">
        <v>0</v>
      </c>
      <c r="EP352" s="409">
        <v>0</v>
      </c>
      <c r="EQ352" s="409">
        <v>0</v>
      </c>
      <c r="ER352" s="409">
        <v>0</v>
      </c>
      <c r="ES352" s="409">
        <v>0</v>
      </c>
      <c r="ET352" s="409">
        <v>0</v>
      </c>
      <c r="EU352" s="409">
        <v>0</v>
      </c>
      <c r="EV352" s="409">
        <v>254</v>
      </c>
      <c r="EW352" s="409">
        <v>0</v>
      </c>
      <c r="EX352" s="409">
        <v>0</v>
      </c>
      <c r="EY352" s="409">
        <v>0</v>
      </c>
      <c r="EZ352" s="409"/>
      <c r="FA352" s="409">
        <v>0</v>
      </c>
      <c r="FB352" s="409"/>
      <c r="FC352" s="409"/>
      <c r="FD352" s="409"/>
      <c r="FE352" s="409"/>
      <c r="FF352" s="409">
        <v>0</v>
      </c>
      <c r="FG352" s="409">
        <v>0</v>
      </c>
      <c r="FH352" s="409">
        <v>0</v>
      </c>
      <c r="FI352" s="409">
        <v>0</v>
      </c>
    </row>
    <row r="353" spans="1:165">
      <c r="A353" s="409">
        <v>351</v>
      </c>
      <c r="B353" s="409" t="s">
        <v>1035</v>
      </c>
      <c r="C353" s="409" t="s">
        <v>2252</v>
      </c>
      <c r="D353" s="409" t="s">
        <v>2254</v>
      </c>
      <c r="E353" s="409" t="s">
        <v>973</v>
      </c>
      <c r="F353" s="409" t="s">
        <v>1323</v>
      </c>
      <c r="G353" s="409" t="s">
        <v>1323</v>
      </c>
      <c r="H353" s="409" t="s">
        <v>1323</v>
      </c>
      <c r="I353" s="409" t="s">
        <v>2237</v>
      </c>
      <c r="J353" s="409" t="s">
        <v>2245</v>
      </c>
      <c r="K353" s="835">
        <v>44652</v>
      </c>
      <c r="L353" s="409">
        <v>0</v>
      </c>
      <c r="M353" s="409">
        <v>0</v>
      </c>
      <c r="N353" s="409">
        <v>0.88200000000000001</v>
      </c>
      <c r="O353" s="409">
        <v>0.88200000000000001</v>
      </c>
      <c r="P353" s="409">
        <v>0.88200000000000001</v>
      </c>
      <c r="Q353" s="409">
        <v>0.88200000000000001</v>
      </c>
      <c r="R353" s="409"/>
      <c r="S353" s="409">
        <v>308.83999999999997</v>
      </c>
      <c r="T353" s="409">
        <v>214.18</v>
      </c>
      <c r="U353" s="409"/>
      <c r="V353" s="409">
        <v>461.30363999999997</v>
      </c>
      <c r="W353" s="409">
        <v>461.30363999999997</v>
      </c>
      <c r="X353" s="409">
        <v>432.08298000000002</v>
      </c>
      <c r="Y353" s="409">
        <v>0</v>
      </c>
      <c r="Z353" s="409">
        <v>19.313559869387781</v>
      </c>
      <c r="AA353" s="409">
        <v>0</v>
      </c>
      <c r="AB353" s="409">
        <v>0</v>
      </c>
      <c r="AC353" s="409">
        <v>0</v>
      </c>
      <c r="AD353" s="409">
        <v>48.509301746104967</v>
      </c>
      <c r="AE353" s="409">
        <v>169.72613721003515</v>
      </c>
      <c r="AF353" s="409">
        <v>188.90744392494437</v>
      </c>
      <c r="AG353" s="409">
        <v>0</v>
      </c>
      <c r="AH353" s="409">
        <v>0</v>
      </c>
      <c r="AI353" s="409">
        <v>0</v>
      </c>
      <c r="AJ353" s="409">
        <v>0</v>
      </c>
      <c r="AK353" s="409">
        <v>0</v>
      </c>
      <c r="AL353" s="409">
        <v>7.8850799350525458</v>
      </c>
      <c r="AM353" s="409"/>
      <c r="AN353" s="409">
        <v>1.332566921469216</v>
      </c>
      <c r="AO353" s="409">
        <v>0</v>
      </c>
      <c r="AP353" s="409">
        <v>0</v>
      </c>
      <c r="AQ353" s="409">
        <v>0</v>
      </c>
      <c r="AR353" s="409">
        <v>0</v>
      </c>
      <c r="AS353" s="409">
        <v>0</v>
      </c>
      <c r="AT353" s="409">
        <v>0</v>
      </c>
      <c r="AU353" s="409">
        <v>0</v>
      </c>
      <c r="AV353" s="409">
        <v>0</v>
      </c>
      <c r="AW353" s="409">
        <v>0</v>
      </c>
      <c r="AX353" s="409">
        <v>0</v>
      </c>
      <c r="AY353" s="409">
        <v>0</v>
      </c>
      <c r="AZ353" s="409">
        <v>0</v>
      </c>
      <c r="BA353" s="409"/>
      <c r="BB353" s="409">
        <v>0</v>
      </c>
      <c r="BC353" s="409">
        <v>0</v>
      </c>
      <c r="BD353" s="409">
        <v>0</v>
      </c>
      <c r="BE353" s="409">
        <v>0</v>
      </c>
      <c r="BF353" s="409">
        <v>0</v>
      </c>
      <c r="BG353" s="409">
        <v>25.628282659097884</v>
      </c>
      <c r="BH353" s="409">
        <v>0</v>
      </c>
      <c r="BI353" s="409">
        <v>0</v>
      </c>
      <c r="BJ353" s="409">
        <v>0</v>
      </c>
      <c r="BK353" s="409">
        <v>0</v>
      </c>
      <c r="BL353" s="409">
        <v>0</v>
      </c>
      <c r="BM353" s="409"/>
      <c r="BN353" s="409"/>
      <c r="BO353" s="409"/>
      <c r="BP353" s="409"/>
      <c r="BQ353" s="409"/>
      <c r="BR353" s="409"/>
      <c r="BS353" s="409"/>
      <c r="BT353" s="409"/>
      <c r="BU353" s="409"/>
      <c r="BV353" s="409">
        <v>214.53572658404227</v>
      </c>
      <c r="BW353" s="409"/>
      <c r="BX353" s="409"/>
      <c r="BY353" s="409"/>
      <c r="BZ353" s="409"/>
      <c r="CA353" s="409"/>
      <c r="CB353" s="409"/>
      <c r="CC353" s="409"/>
      <c r="CD353" s="409"/>
      <c r="CE353" s="409"/>
      <c r="CF353" s="409"/>
      <c r="CG353" s="409"/>
      <c r="CH353" s="409"/>
      <c r="CI353" s="409">
        <v>431.10320000000002</v>
      </c>
      <c r="CJ353" s="409">
        <v>-30.23043999999993</v>
      </c>
      <c r="CK353" s="409"/>
      <c r="CL353" s="409"/>
      <c r="CM353" s="409"/>
      <c r="CN353" s="409"/>
      <c r="CO353" s="409">
        <v>-35.791559999999983</v>
      </c>
      <c r="CP353" s="409">
        <v>6.5708999999999902</v>
      </c>
      <c r="CQ353" s="409">
        <v>30</v>
      </c>
      <c r="CR353" s="409">
        <v>9.6834465167028156</v>
      </c>
      <c r="CS353" s="409">
        <v>0</v>
      </c>
      <c r="CT353" s="409">
        <v>0</v>
      </c>
      <c r="CU353" s="409">
        <v>0</v>
      </c>
      <c r="CV353" s="409">
        <v>0</v>
      </c>
      <c r="CW353" s="409">
        <v>0</v>
      </c>
      <c r="CX353" s="409">
        <v>0</v>
      </c>
      <c r="CY353" s="409">
        <v>0</v>
      </c>
      <c r="CZ353" s="409">
        <v>1.8186437127650805</v>
      </c>
      <c r="DA353" s="409">
        <v>0</v>
      </c>
      <c r="DB353" s="409">
        <v>0</v>
      </c>
      <c r="DC353" s="409">
        <v>8.6538323910766337</v>
      </c>
      <c r="DD353" s="409">
        <v>0</v>
      </c>
      <c r="DE353" s="409">
        <v>0</v>
      </c>
      <c r="DF353" s="409">
        <v>0</v>
      </c>
      <c r="DG353" s="409">
        <v>1.1740292388429729</v>
      </c>
      <c r="DH353" s="409">
        <v>0</v>
      </c>
      <c r="DI353" s="409">
        <v>-0.14085148844342754</v>
      </c>
      <c r="DJ353" s="409"/>
      <c r="DK353" s="409">
        <v>0</v>
      </c>
      <c r="DL353" s="409">
        <v>0</v>
      </c>
      <c r="DM353" s="409">
        <v>0</v>
      </c>
      <c r="DN353" s="409">
        <v>0</v>
      </c>
      <c r="DO353" s="409">
        <v>-4.4227036583900592E-2</v>
      </c>
      <c r="DP353" s="409">
        <v>-7.8492650200987724E-2</v>
      </c>
      <c r="DQ353" s="409">
        <v>0</v>
      </c>
      <c r="DR353" s="409">
        <v>-1.6994876507535621</v>
      </c>
      <c r="DS353" s="409"/>
      <c r="DT353" s="409"/>
      <c r="DU353" s="409"/>
      <c r="DV353" s="409">
        <v>169.72613721003515</v>
      </c>
      <c r="DW353" s="409">
        <v>0</v>
      </c>
      <c r="DX353" s="409">
        <v>0</v>
      </c>
      <c r="DY353" s="409">
        <v>-35.791559999999947</v>
      </c>
      <c r="DZ353" s="409">
        <v>6.5708999999999662</v>
      </c>
      <c r="EA353" s="409">
        <v>0</v>
      </c>
      <c r="EB353" s="409">
        <v>0</v>
      </c>
      <c r="EC353" s="409">
        <v>-38.90522166367461</v>
      </c>
      <c r="ED353" s="409">
        <v>0</v>
      </c>
      <c r="EE353" s="409">
        <v>0</v>
      </c>
      <c r="EF353" s="409">
        <v>0</v>
      </c>
      <c r="EG353" s="409">
        <v>0</v>
      </c>
      <c r="EH353" s="409">
        <v>0</v>
      </c>
      <c r="EI353" s="409">
        <v>0</v>
      </c>
      <c r="EJ353" s="409">
        <v>0</v>
      </c>
      <c r="EK353" s="409">
        <v>0</v>
      </c>
      <c r="EL353" s="409">
        <v>0</v>
      </c>
      <c r="EM353" s="409">
        <v>0</v>
      </c>
      <c r="EN353" s="409">
        <v>0</v>
      </c>
      <c r="EO353" s="409">
        <v>0</v>
      </c>
      <c r="EP353" s="409">
        <v>0</v>
      </c>
      <c r="EQ353" s="409">
        <v>0</v>
      </c>
      <c r="ER353" s="409">
        <v>0</v>
      </c>
      <c r="ES353" s="409">
        <v>0</v>
      </c>
      <c r="ET353" s="409">
        <v>0</v>
      </c>
      <c r="EU353" s="409">
        <v>0</v>
      </c>
      <c r="EV353" s="409">
        <v>254</v>
      </c>
      <c r="EW353" s="409">
        <v>0</v>
      </c>
      <c r="EX353" s="409">
        <v>0</v>
      </c>
      <c r="EY353" s="409">
        <v>0</v>
      </c>
      <c r="EZ353" s="409"/>
      <c r="FA353" s="409">
        <v>0</v>
      </c>
      <c r="FB353" s="409"/>
      <c r="FC353" s="409"/>
      <c r="FD353" s="409"/>
      <c r="FE353" s="409"/>
      <c r="FF353" s="409">
        <v>0</v>
      </c>
      <c r="FG353" s="409">
        <v>0</v>
      </c>
      <c r="FH353" s="409">
        <v>0</v>
      </c>
      <c r="FI353" s="409">
        <v>0</v>
      </c>
    </row>
    <row r="354" spans="1:165">
      <c r="A354" s="409">
        <v>352</v>
      </c>
      <c r="B354" s="409" t="s">
        <v>1035</v>
      </c>
      <c r="C354" s="409" t="s">
        <v>2252</v>
      </c>
      <c r="D354" s="409" t="s">
        <v>2254</v>
      </c>
      <c r="E354" s="409" t="s">
        <v>973</v>
      </c>
      <c r="F354" s="409" t="s">
        <v>1323</v>
      </c>
      <c r="G354" s="409" t="s">
        <v>1323</v>
      </c>
      <c r="H354" s="409" t="s">
        <v>1323</v>
      </c>
      <c r="I354" s="409" t="s">
        <v>1323</v>
      </c>
      <c r="J354" s="409" t="s">
        <v>2245</v>
      </c>
      <c r="K354" s="835">
        <v>44652</v>
      </c>
      <c r="L354" s="409">
        <v>0</v>
      </c>
      <c r="M354" s="409">
        <v>0</v>
      </c>
      <c r="N354" s="409">
        <v>0.184</v>
      </c>
      <c r="O354" s="409">
        <v>0.184</v>
      </c>
      <c r="P354" s="409">
        <v>0.184</v>
      </c>
      <c r="Q354" s="409">
        <v>0.184</v>
      </c>
      <c r="R354" s="409"/>
      <c r="S354" s="409">
        <v>597.01</v>
      </c>
      <c r="T354" s="409">
        <v>243.39</v>
      </c>
      <c r="U354" s="409"/>
      <c r="V354" s="409">
        <v>154.6336</v>
      </c>
      <c r="W354" s="409">
        <v>154.6336</v>
      </c>
      <c r="X354" s="409">
        <v>140.07551999999998</v>
      </c>
      <c r="Y354" s="409">
        <v>0</v>
      </c>
      <c r="Z354" s="409">
        <v>4.5785598535963583</v>
      </c>
      <c r="AA354" s="409">
        <v>0</v>
      </c>
      <c r="AB354" s="409">
        <v>0</v>
      </c>
      <c r="AC354" s="409">
        <v>0</v>
      </c>
      <c r="AD354" s="409">
        <v>21.562788072202096</v>
      </c>
      <c r="AE354" s="409">
        <v>75.447088556364761</v>
      </c>
      <c r="AF354" s="409">
        <v>44.783253043431472</v>
      </c>
      <c r="AG354" s="409">
        <v>0</v>
      </c>
      <c r="AH354" s="409">
        <v>0</v>
      </c>
      <c r="AI354" s="409">
        <v>0</v>
      </c>
      <c r="AJ354" s="409">
        <v>0</v>
      </c>
      <c r="AK354" s="409">
        <v>0</v>
      </c>
      <c r="AL354" s="409">
        <v>1.8692727118759918</v>
      </c>
      <c r="AM354" s="409"/>
      <c r="AN354" s="409">
        <v>0.31590434130892481</v>
      </c>
      <c r="AO354" s="409">
        <v>0</v>
      </c>
      <c r="AP354" s="409">
        <v>0</v>
      </c>
      <c r="AQ354" s="409">
        <v>0</v>
      </c>
      <c r="AR354" s="409">
        <v>0</v>
      </c>
      <c r="AS354" s="409">
        <v>0</v>
      </c>
      <c r="AT354" s="409">
        <v>0</v>
      </c>
      <c r="AU354" s="409">
        <v>0</v>
      </c>
      <c r="AV354" s="409">
        <v>0</v>
      </c>
      <c r="AW354" s="409">
        <v>0</v>
      </c>
      <c r="AX354" s="409">
        <v>0</v>
      </c>
      <c r="AY354" s="409">
        <v>0</v>
      </c>
      <c r="AZ354" s="409">
        <v>0</v>
      </c>
      <c r="BA354" s="409"/>
      <c r="BB354" s="409">
        <v>0</v>
      </c>
      <c r="BC354" s="409">
        <v>0</v>
      </c>
      <c r="BD354" s="409">
        <v>0</v>
      </c>
      <c r="BE354" s="409">
        <v>0</v>
      </c>
      <c r="BF354" s="409">
        <v>0</v>
      </c>
      <c r="BG354" s="409">
        <v>6.0755565982194524</v>
      </c>
      <c r="BH354" s="409">
        <v>0</v>
      </c>
      <c r="BI354" s="409">
        <v>1.01</v>
      </c>
      <c r="BJ354" s="409">
        <v>4.67</v>
      </c>
      <c r="BK354" s="409">
        <v>0</v>
      </c>
      <c r="BL354" s="409">
        <v>8</v>
      </c>
      <c r="BM354" s="409"/>
      <c r="BN354" s="409"/>
      <c r="BO354" s="409"/>
      <c r="BP354" s="409"/>
      <c r="BQ354" s="409"/>
      <c r="BR354" s="409">
        <v>16.810239999999997</v>
      </c>
      <c r="BS354" s="409"/>
      <c r="BT354" s="409"/>
      <c r="BU354" s="409"/>
      <c r="BV354" s="409">
        <v>50.858809641650922</v>
      </c>
      <c r="BW354" s="409"/>
      <c r="BX354" s="409"/>
      <c r="BY354" s="409"/>
      <c r="BZ354" s="409"/>
      <c r="CA354" s="409"/>
      <c r="CB354" s="409"/>
      <c r="CC354" s="409"/>
      <c r="CD354" s="409"/>
      <c r="CE354" s="409"/>
      <c r="CF354" s="409"/>
      <c r="CG354" s="409"/>
      <c r="CH354" s="409"/>
      <c r="CI354" s="409">
        <v>120.5856</v>
      </c>
      <c r="CJ354" s="409">
        <v>-15.521600000000007</v>
      </c>
      <c r="CK354" s="409"/>
      <c r="CL354" s="409"/>
      <c r="CM354" s="409"/>
      <c r="CN354" s="409"/>
      <c r="CO354" s="409">
        <v>-16.114719999999998</v>
      </c>
      <c r="CP354" s="409">
        <v>1.5566400000000014</v>
      </c>
      <c r="CQ354" s="409">
        <v>30</v>
      </c>
      <c r="CR354" s="409">
        <v>2.7367834339968766</v>
      </c>
      <c r="CS354" s="409">
        <v>0</v>
      </c>
      <c r="CT354" s="409">
        <v>0</v>
      </c>
      <c r="CU354" s="409">
        <v>0</v>
      </c>
      <c r="CV354" s="409">
        <v>0</v>
      </c>
      <c r="CW354" s="409">
        <v>0</v>
      </c>
      <c r="CX354" s="409">
        <v>0</v>
      </c>
      <c r="CY354" s="409">
        <v>0</v>
      </c>
      <c r="CZ354" s="409">
        <v>0.80840225576629621</v>
      </c>
      <c r="DA354" s="409">
        <v>0</v>
      </c>
      <c r="DB354" s="409">
        <v>0</v>
      </c>
      <c r="DC354" s="409">
        <v>2.0515166459984471</v>
      </c>
      <c r="DD354" s="409">
        <v>0</v>
      </c>
      <c r="DE354" s="409">
        <v>0</v>
      </c>
      <c r="DF354" s="409">
        <v>0</v>
      </c>
      <c r="DG354" s="409">
        <v>0.27832068123466858</v>
      </c>
      <c r="DH354" s="409">
        <v>0</v>
      </c>
      <c r="DI354" s="409">
        <v>-3.3390890890528269E-2</v>
      </c>
      <c r="DJ354" s="409"/>
      <c r="DK354" s="409">
        <v>0</v>
      </c>
      <c r="DL354" s="409">
        <v>0</v>
      </c>
      <c r="DM354" s="409">
        <v>0</v>
      </c>
      <c r="DN354" s="409">
        <v>0</v>
      </c>
      <c r="DO354" s="409">
        <v>-1.0484661321692679E-2</v>
      </c>
      <c r="DP354" s="409">
        <v>-1.860782266153993E-2</v>
      </c>
      <c r="DQ354" s="409">
        <v>0</v>
      </c>
      <c r="DR354" s="409">
        <v>-0.33897277412877941</v>
      </c>
      <c r="DS354" s="409"/>
      <c r="DT354" s="409"/>
      <c r="DU354" s="409"/>
      <c r="DV354" s="409">
        <v>75.447088556364761</v>
      </c>
      <c r="DW354" s="409">
        <v>0</v>
      </c>
      <c r="DX354" s="409">
        <v>0</v>
      </c>
      <c r="DY354" s="409">
        <v>-16.114720000000005</v>
      </c>
      <c r="DZ354" s="409">
        <v>1.5566400000000016</v>
      </c>
      <c r="EA354" s="409">
        <v>0</v>
      </c>
      <c r="EB354" s="409">
        <v>0</v>
      </c>
      <c r="EC354" s="409">
        <v>-17.294246793184548</v>
      </c>
      <c r="ED354" s="409">
        <v>0</v>
      </c>
      <c r="EE354" s="409">
        <v>0</v>
      </c>
      <c r="EF354" s="409">
        <v>0</v>
      </c>
      <c r="EG354" s="409">
        <v>0</v>
      </c>
      <c r="EH354" s="409">
        <v>0</v>
      </c>
      <c r="EI354" s="409">
        <v>0</v>
      </c>
      <c r="EJ354" s="409">
        <v>0</v>
      </c>
      <c r="EK354" s="409">
        <v>0</v>
      </c>
      <c r="EL354" s="409">
        <v>0</v>
      </c>
      <c r="EM354" s="409">
        <v>0</v>
      </c>
      <c r="EN354" s="409">
        <v>0</v>
      </c>
      <c r="EO354" s="409">
        <v>0</v>
      </c>
      <c r="EP354" s="409">
        <v>0</v>
      </c>
      <c r="EQ354" s="409">
        <v>0</v>
      </c>
      <c r="ER354" s="409">
        <v>0</v>
      </c>
      <c r="ES354" s="409">
        <v>0</v>
      </c>
      <c r="ET354" s="409">
        <v>0</v>
      </c>
      <c r="EU354" s="409">
        <v>0</v>
      </c>
      <c r="EV354" s="409">
        <v>254</v>
      </c>
      <c r="EW354" s="409">
        <v>0</v>
      </c>
      <c r="EX354" s="409">
        <v>0</v>
      </c>
      <c r="EY354" s="409">
        <v>0</v>
      </c>
      <c r="EZ354" s="409"/>
      <c r="FA354" s="409">
        <v>0</v>
      </c>
      <c r="FB354" s="409"/>
      <c r="FC354" s="409"/>
      <c r="FD354" s="409"/>
      <c r="FE354" s="409"/>
      <c r="FF354" s="409">
        <v>0</v>
      </c>
      <c r="FG354" s="409">
        <v>0</v>
      </c>
      <c r="FH354" s="409">
        <v>0</v>
      </c>
      <c r="FI354" s="409">
        <v>0</v>
      </c>
    </row>
    <row r="355" spans="1:165">
      <c r="A355" s="409">
        <v>353</v>
      </c>
      <c r="B355" s="409" t="s">
        <v>1035</v>
      </c>
      <c r="C355" s="409" t="s">
        <v>2252</v>
      </c>
      <c r="D355" s="409" t="s">
        <v>2254</v>
      </c>
      <c r="E355" s="409" t="s">
        <v>973</v>
      </c>
      <c r="F355" s="409" t="s">
        <v>1323</v>
      </c>
      <c r="G355" s="409" t="s">
        <v>1323</v>
      </c>
      <c r="H355" s="409" t="s">
        <v>1323</v>
      </c>
      <c r="I355" s="409" t="s">
        <v>2253</v>
      </c>
      <c r="J355" s="409" t="s">
        <v>2245</v>
      </c>
      <c r="K355" s="835">
        <v>44652</v>
      </c>
      <c r="L355" s="409">
        <v>0</v>
      </c>
      <c r="M355" s="409">
        <v>0</v>
      </c>
      <c r="N355" s="409">
        <v>2.7E-2</v>
      </c>
      <c r="O355" s="409">
        <v>2.7E-2</v>
      </c>
      <c r="P355" s="409">
        <v>2.7E-2</v>
      </c>
      <c r="Q355" s="409">
        <v>2.7E-2</v>
      </c>
      <c r="R355" s="409"/>
      <c r="S355" s="409">
        <v>803.7</v>
      </c>
      <c r="T355" s="409">
        <v>214.18</v>
      </c>
      <c r="U355" s="409"/>
      <c r="V355" s="409">
        <v>27.482759999999999</v>
      </c>
      <c r="W355" s="409">
        <v>27.482759999999999</v>
      </c>
      <c r="X355" s="409">
        <v>24.336449999999999</v>
      </c>
      <c r="Y355" s="409">
        <v>0</v>
      </c>
      <c r="Z355" s="409">
        <v>0.5912314245730953</v>
      </c>
      <c r="AA355" s="409">
        <v>0</v>
      </c>
      <c r="AB355" s="409">
        <v>0</v>
      </c>
      <c r="AC355" s="409">
        <v>0</v>
      </c>
      <c r="AD355" s="409">
        <v>4.4548287168732834</v>
      </c>
      <c r="AE355" s="409">
        <v>15.587080866853245</v>
      </c>
      <c r="AF355" s="409">
        <v>5.7828809364778886</v>
      </c>
      <c r="AG355" s="409">
        <v>0</v>
      </c>
      <c r="AH355" s="409">
        <v>0</v>
      </c>
      <c r="AI355" s="409">
        <v>0</v>
      </c>
      <c r="AJ355" s="409">
        <v>0</v>
      </c>
      <c r="AK355" s="409">
        <v>0</v>
      </c>
      <c r="AL355" s="409">
        <v>0.24137999801181262</v>
      </c>
      <c r="AM355" s="409"/>
      <c r="AN355" s="409">
        <v>4.0792864942935179E-2</v>
      </c>
      <c r="AO355" s="409">
        <v>0</v>
      </c>
      <c r="AP355" s="409">
        <v>0</v>
      </c>
      <c r="AQ355" s="409">
        <v>0</v>
      </c>
      <c r="AR355" s="409">
        <v>0</v>
      </c>
      <c r="AS355" s="409">
        <v>0</v>
      </c>
      <c r="AT355" s="409">
        <v>0</v>
      </c>
      <c r="AU355" s="409">
        <v>0</v>
      </c>
      <c r="AV355" s="409">
        <v>0</v>
      </c>
      <c r="AW355" s="409">
        <v>0</v>
      </c>
      <c r="AX355" s="409">
        <v>0</v>
      </c>
      <c r="AY355" s="409">
        <v>0</v>
      </c>
      <c r="AZ355" s="409">
        <v>0</v>
      </c>
      <c r="BA355" s="409"/>
      <c r="BB355" s="409">
        <v>0</v>
      </c>
      <c r="BC355" s="409">
        <v>0</v>
      </c>
      <c r="BD355" s="409">
        <v>0</v>
      </c>
      <c r="BE355" s="409">
        <v>0</v>
      </c>
      <c r="BF355" s="409">
        <v>0</v>
      </c>
      <c r="BG355" s="409">
        <v>0.78453926507442506</v>
      </c>
      <c r="BH355" s="409">
        <v>0</v>
      </c>
      <c r="BI355" s="409">
        <v>0</v>
      </c>
      <c r="BJ355" s="409">
        <v>0</v>
      </c>
      <c r="BK355" s="409">
        <v>0</v>
      </c>
      <c r="BL355" s="409">
        <v>0</v>
      </c>
      <c r="BM355" s="409"/>
      <c r="BN355" s="409"/>
      <c r="BO355" s="409"/>
      <c r="BP355" s="409"/>
      <c r="BQ355" s="409"/>
      <c r="BR355" s="409"/>
      <c r="BS355" s="409"/>
      <c r="BT355" s="409"/>
      <c r="BU355" s="409"/>
      <c r="BV355" s="409">
        <v>6.5674202015523138</v>
      </c>
      <c r="BW355" s="409"/>
      <c r="BX355" s="409"/>
      <c r="BY355" s="409"/>
      <c r="BZ355" s="409"/>
      <c r="CA355" s="409"/>
      <c r="CB355" s="409"/>
      <c r="CC355" s="409"/>
      <c r="CD355" s="409"/>
      <c r="CE355" s="409"/>
      <c r="CF355" s="409"/>
      <c r="CG355" s="409"/>
      <c r="CH355" s="409"/>
      <c r="CI355" s="409">
        <v>27.040500000000002</v>
      </c>
      <c r="CJ355" s="409">
        <v>-0.47226000000000212</v>
      </c>
      <c r="CK355" s="409"/>
      <c r="CL355" s="409"/>
      <c r="CM355" s="409"/>
      <c r="CN355" s="409"/>
      <c r="CO355" s="409">
        <v>-3.3474600000000003</v>
      </c>
      <c r="CP355" s="409">
        <v>0.20114999999999969</v>
      </c>
      <c r="CQ355" s="409">
        <v>30</v>
      </c>
      <c r="CR355" s="409">
        <v>0.42663624039220061</v>
      </c>
      <c r="CS355" s="409">
        <v>0</v>
      </c>
      <c r="CT355" s="409">
        <v>0</v>
      </c>
      <c r="CU355" s="409">
        <v>0</v>
      </c>
      <c r="CV355" s="409">
        <v>0</v>
      </c>
      <c r="CW355" s="409">
        <v>0</v>
      </c>
      <c r="CX355" s="409">
        <v>0</v>
      </c>
      <c r="CY355" s="409">
        <v>0</v>
      </c>
      <c r="CZ355" s="409">
        <v>0.16701428274087693</v>
      </c>
      <c r="DA355" s="409">
        <v>0</v>
      </c>
      <c r="DB355" s="409">
        <v>0</v>
      </c>
      <c r="DC355" s="409">
        <v>0.26491323646152942</v>
      </c>
      <c r="DD355" s="409">
        <v>0</v>
      </c>
      <c r="DE355" s="409">
        <v>0</v>
      </c>
      <c r="DF355" s="409">
        <v>0</v>
      </c>
      <c r="DG355" s="409">
        <v>3.5939670576825677E-2</v>
      </c>
      <c r="DH355" s="409">
        <v>0</v>
      </c>
      <c r="DI355" s="409">
        <v>-4.3117802584722309E-3</v>
      </c>
      <c r="DJ355" s="409"/>
      <c r="DK355" s="409">
        <v>0</v>
      </c>
      <c r="DL355" s="409">
        <v>0</v>
      </c>
      <c r="DM355" s="409">
        <v>0</v>
      </c>
      <c r="DN355" s="409">
        <v>0</v>
      </c>
      <c r="DO355" s="409">
        <v>-1.3538888750173617E-3</v>
      </c>
      <c r="DP355" s="409">
        <v>-2.4028362306424758E-3</v>
      </c>
      <c r="DQ355" s="409">
        <v>0</v>
      </c>
      <c r="DR355" s="409">
        <v>-3.3162444022902568E-2</v>
      </c>
      <c r="DS355" s="409"/>
      <c r="DT355" s="409"/>
      <c r="DU355" s="409"/>
      <c r="DV355" s="409">
        <v>15.587080866853245</v>
      </c>
      <c r="DW355" s="409">
        <v>0</v>
      </c>
      <c r="DX355" s="409">
        <v>0</v>
      </c>
      <c r="DY355" s="409">
        <v>-3.3474599999999981</v>
      </c>
      <c r="DZ355" s="409">
        <v>0.20114999999999927</v>
      </c>
      <c r="EA355" s="409">
        <v>0</v>
      </c>
      <c r="EB355" s="409">
        <v>0</v>
      </c>
      <c r="EC355" s="409">
        <v>-3.5729254561665247</v>
      </c>
      <c r="ED355" s="409">
        <v>0</v>
      </c>
      <c r="EE355" s="409">
        <v>0</v>
      </c>
      <c r="EF355" s="409">
        <v>0</v>
      </c>
      <c r="EG355" s="409">
        <v>0</v>
      </c>
      <c r="EH355" s="409">
        <v>0</v>
      </c>
      <c r="EI355" s="409">
        <v>0</v>
      </c>
      <c r="EJ355" s="409">
        <v>0</v>
      </c>
      <c r="EK355" s="409">
        <v>0</v>
      </c>
      <c r="EL355" s="409">
        <v>0</v>
      </c>
      <c r="EM355" s="409">
        <v>0</v>
      </c>
      <c r="EN355" s="409">
        <v>0</v>
      </c>
      <c r="EO355" s="409">
        <v>0</v>
      </c>
      <c r="EP355" s="409">
        <v>0</v>
      </c>
      <c r="EQ355" s="409">
        <v>0</v>
      </c>
      <c r="ER355" s="409">
        <v>0</v>
      </c>
      <c r="ES355" s="409">
        <v>0</v>
      </c>
      <c r="ET355" s="409">
        <v>0</v>
      </c>
      <c r="EU355" s="409">
        <v>0</v>
      </c>
      <c r="EV355" s="409">
        <v>254</v>
      </c>
      <c r="EW355" s="409">
        <v>0</v>
      </c>
      <c r="EX355" s="409">
        <v>0</v>
      </c>
      <c r="EY355" s="409">
        <v>0</v>
      </c>
      <c r="EZ355" s="409"/>
      <c r="FA355" s="409">
        <v>0</v>
      </c>
      <c r="FB355" s="409"/>
      <c r="FC355" s="409"/>
      <c r="FD355" s="409"/>
      <c r="FE355" s="409"/>
      <c r="FF355" s="409">
        <v>0</v>
      </c>
      <c r="FG355" s="409">
        <v>0</v>
      </c>
      <c r="FH355" s="409">
        <v>0</v>
      </c>
      <c r="FI355" s="409">
        <v>0</v>
      </c>
    </row>
    <row r="356" spans="1:165">
      <c r="A356" s="409">
        <v>354</v>
      </c>
      <c r="B356" s="409" t="s">
        <v>1035</v>
      </c>
      <c r="C356" s="409" t="s">
        <v>2244</v>
      </c>
      <c r="D356" s="409" t="s">
        <v>1994</v>
      </c>
      <c r="E356" s="409" t="s">
        <v>2255</v>
      </c>
      <c r="F356" s="409" t="s">
        <v>1323</v>
      </c>
      <c r="G356" s="409" t="s">
        <v>1323</v>
      </c>
      <c r="H356" s="409" t="s">
        <v>1323</v>
      </c>
      <c r="I356" s="409" t="s">
        <v>1323</v>
      </c>
      <c r="J356" s="409" t="s">
        <v>2245</v>
      </c>
      <c r="K356" s="835">
        <v>44652</v>
      </c>
      <c r="L356" s="409">
        <v>0</v>
      </c>
      <c r="M356" s="409">
        <v>0</v>
      </c>
      <c r="N356" s="409">
        <v>20.172999999999998</v>
      </c>
      <c r="O356" s="409">
        <v>20.172999999999998</v>
      </c>
      <c r="P356" s="409">
        <v>20.172999999999998</v>
      </c>
      <c r="Q356" s="409">
        <v>20.172999999999998</v>
      </c>
      <c r="R356" s="409"/>
      <c r="S356" s="409">
        <v>597.01</v>
      </c>
      <c r="T356" s="409">
        <v>243.39</v>
      </c>
      <c r="U356" s="409"/>
      <c r="V356" s="409">
        <v>16953.389199999998</v>
      </c>
      <c r="W356" s="409">
        <v>16953.389199999998</v>
      </c>
      <c r="X356" s="409">
        <v>15357.301439999999</v>
      </c>
      <c r="Y356" s="409">
        <v>0</v>
      </c>
      <c r="Z356" s="409">
        <v>501.97439090543116</v>
      </c>
      <c r="AA356" s="409">
        <v>0</v>
      </c>
      <c r="AB356" s="409">
        <v>0</v>
      </c>
      <c r="AC356" s="409">
        <v>0</v>
      </c>
      <c r="AD356" s="409">
        <v>2364.0550205463742</v>
      </c>
      <c r="AE356" s="409">
        <v>8271.7071600410127</v>
      </c>
      <c r="AF356" s="409">
        <v>4909.8508893757771</v>
      </c>
      <c r="AG356" s="409">
        <v>0</v>
      </c>
      <c r="AH356" s="409">
        <v>0</v>
      </c>
      <c r="AI356" s="409">
        <v>0</v>
      </c>
      <c r="AJ356" s="409">
        <v>0</v>
      </c>
      <c r="AK356" s="409">
        <v>0</v>
      </c>
      <c r="AL356" s="409">
        <v>204.93933922105643</v>
      </c>
      <c r="AM356" s="409"/>
      <c r="AN356" s="409">
        <v>34.634447158831193</v>
      </c>
      <c r="AO356" s="409">
        <v>0</v>
      </c>
      <c r="AP356" s="409">
        <v>0</v>
      </c>
      <c r="AQ356" s="409">
        <v>0</v>
      </c>
      <c r="AR356" s="409">
        <v>0</v>
      </c>
      <c r="AS356" s="409">
        <v>0</v>
      </c>
      <c r="AT356" s="409">
        <v>0</v>
      </c>
      <c r="AU356" s="409">
        <v>0</v>
      </c>
      <c r="AV356" s="409">
        <v>0</v>
      </c>
      <c r="AW356" s="409">
        <v>0</v>
      </c>
      <c r="AX356" s="409">
        <v>0</v>
      </c>
      <c r="AY356" s="409">
        <v>0</v>
      </c>
      <c r="AZ356" s="409">
        <v>0</v>
      </c>
      <c r="BA356" s="409"/>
      <c r="BB356" s="409">
        <v>0</v>
      </c>
      <c r="BC356" s="409">
        <v>0</v>
      </c>
      <c r="BD356" s="409">
        <v>0</v>
      </c>
      <c r="BE356" s="409">
        <v>0</v>
      </c>
      <c r="BF356" s="409">
        <v>0</v>
      </c>
      <c r="BG356" s="409">
        <v>666.09893073848377</v>
      </c>
      <c r="BH356" s="409">
        <v>0</v>
      </c>
      <c r="BI356" s="409">
        <v>28.24</v>
      </c>
      <c r="BJ356" s="409">
        <v>130.32</v>
      </c>
      <c r="BK356" s="409">
        <v>1744.13</v>
      </c>
      <c r="BL356" s="409">
        <v>30</v>
      </c>
      <c r="BM356" s="409"/>
      <c r="BN356" s="409"/>
      <c r="BO356" s="409"/>
      <c r="BP356" s="409"/>
      <c r="BQ356" s="409"/>
      <c r="BR356" s="409"/>
      <c r="BS356" s="409"/>
      <c r="BT356" s="409"/>
      <c r="BU356" s="409"/>
      <c r="BV356" s="409">
        <v>5575.9498201142605</v>
      </c>
      <c r="BW356" s="409"/>
      <c r="BX356" s="409"/>
      <c r="BY356" s="409"/>
      <c r="BZ356" s="409"/>
      <c r="CA356" s="409"/>
      <c r="CB356" s="409"/>
      <c r="CC356" s="409"/>
      <c r="CD356" s="409"/>
      <c r="CE356" s="409"/>
      <c r="CF356" s="409"/>
      <c r="CG356" s="409"/>
      <c r="CH356" s="409"/>
      <c r="CI356" s="409">
        <v>15355.017600000001</v>
      </c>
      <c r="CJ356" s="409">
        <v>-1598.4015999999956</v>
      </c>
      <c r="CK356" s="409"/>
      <c r="CL356" s="409"/>
      <c r="CM356" s="409"/>
      <c r="CN356" s="409"/>
      <c r="CO356" s="409">
        <v>-1766.7513399999996</v>
      </c>
      <c r="CP356" s="409">
        <v>170.66358000000014</v>
      </c>
      <c r="CQ356" s="409">
        <v>30</v>
      </c>
      <c r="CR356" s="409">
        <v>300.04963159792715</v>
      </c>
      <c r="CS356" s="409">
        <v>0</v>
      </c>
      <c r="CT356" s="409">
        <v>0</v>
      </c>
      <c r="CU356" s="409">
        <v>0</v>
      </c>
      <c r="CV356" s="409">
        <v>0</v>
      </c>
      <c r="CW356" s="409">
        <v>0</v>
      </c>
      <c r="CX356" s="409">
        <v>0</v>
      </c>
      <c r="CY356" s="409">
        <v>0</v>
      </c>
      <c r="CZ356" s="409">
        <v>88.629884269420927</v>
      </c>
      <c r="DA356" s="409">
        <v>0</v>
      </c>
      <c r="DB356" s="409">
        <v>0</v>
      </c>
      <c r="DC356" s="409">
        <v>224.91981141155793</v>
      </c>
      <c r="DD356" s="409">
        <v>0</v>
      </c>
      <c r="DE356" s="409">
        <v>0</v>
      </c>
      <c r="DF356" s="409">
        <v>0</v>
      </c>
      <c r="DG356" s="409">
        <v>30.513929905146483</v>
      </c>
      <c r="DH356" s="409">
        <v>0</v>
      </c>
      <c r="DI356" s="409">
        <v>-3.6608393583404109</v>
      </c>
      <c r="DJ356" s="409"/>
      <c r="DK356" s="409">
        <v>0</v>
      </c>
      <c r="DL356" s="409">
        <v>0</v>
      </c>
      <c r="DM356" s="409">
        <v>0</v>
      </c>
      <c r="DN356" s="409">
        <v>0</v>
      </c>
      <c r="DO356" s="409">
        <v>-1.1494949611006007</v>
      </c>
      <c r="DP356" s="409">
        <v>-2.0400848182132876</v>
      </c>
      <c r="DQ356" s="409">
        <v>0</v>
      </c>
      <c r="DR356" s="409">
        <v>-37.163574850542751</v>
      </c>
      <c r="DS356" s="409"/>
      <c r="DT356" s="409"/>
      <c r="DU356" s="409"/>
      <c r="DV356" s="409">
        <v>8271.7071600410127</v>
      </c>
      <c r="DW356" s="409">
        <v>0</v>
      </c>
      <c r="DX356" s="409">
        <v>0</v>
      </c>
      <c r="DY356" s="409">
        <v>-1766.7513399999989</v>
      </c>
      <c r="DZ356" s="409">
        <v>170.66358000000037</v>
      </c>
      <c r="EA356" s="409">
        <v>0</v>
      </c>
      <c r="EB356" s="409">
        <v>0</v>
      </c>
      <c r="EC356" s="409">
        <v>-1896.0697856462612</v>
      </c>
      <c r="ED356" s="409">
        <v>0</v>
      </c>
      <c r="EE356" s="409">
        <v>0</v>
      </c>
      <c r="EF356" s="409">
        <v>0</v>
      </c>
      <c r="EG356" s="409">
        <v>0</v>
      </c>
      <c r="EH356" s="409">
        <v>0</v>
      </c>
      <c r="EI356" s="409">
        <v>0</v>
      </c>
      <c r="EJ356" s="409">
        <v>0</v>
      </c>
      <c r="EK356" s="409">
        <v>0</v>
      </c>
      <c r="EL356" s="409">
        <v>0</v>
      </c>
      <c r="EM356" s="409">
        <v>0</v>
      </c>
      <c r="EN356" s="409">
        <v>0</v>
      </c>
      <c r="EO356" s="409">
        <v>0</v>
      </c>
      <c r="EP356" s="409">
        <v>0</v>
      </c>
      <c r="EQ356" s="409">
        <v>0</v>
      </c>
      <c r="ER356" s="409">
        <v>0</v>
      </c>
      <c r="ES356" s="409">
        <v>0</v>
      </c>
      <c r="ET356" s="409">
        <v>0</v>
      </c>
      <c r="EU356" s="409">
        <v>0</v>
      </c>
      <c r="EV356" s="409">
        <v>254</v>
      </c>
      <c r="EW356" s="409">
        <v>0</v>
      </c>
      <c r="EX356" s="409">
        <v>0</v>
      </c>
      <c r="EY356" s="409">
        <v>0</v>
      </c>
      <c r="EZ356" s="409"/>
      <c r="FA356" s="409">
        <v>0</v>
      </c>
      <c r="FB356" s="409"/>
      <c r="FC356" s="409"/>
      <c r="FD356" s="409"/>
      <c r="FE356" s="409"/>
      <c r="FF356" s="409">
        <v>0</v>
      </c>
      <c r="FG356" s="409">
        <v>0</v>
      </c>
      <c r="FH356" s="409">
        <v>0</v>
      </c>
      <c r="FI356" s="409">
        <v>0</v>
      </c>
    </row>
    <row r="357" spans="1:165">
      <c r="A357" s="409">
        <v>355</v>
      </c>
      <c r="B357" s="409" t="s">
        <v>1035</v>
      </c>
      <c r="C357" s="409" t="s">
        <v>2244</v>
      </c>
      <c r="D357" s="409" t="s">
        <v>2256</v>
      </c>
      <c r="E357" s="409" t="s">
        <v>2257</v>
      </c>
      <c r="F357" s="409" t="s">
        <v>2258</v>
      </c>
      <c r="G357" s="409" t="s">
        <v>1323</v>
      </c>
      <c r="H357" s="409" t="s">
        <v>1323</v>
      </c>
      <c r="I357" s="409" t="s">
        <v>1323</v>
      </c>
      <c r="J357" s="409" t="s">
        <v>2245</v>
      </c>
      <c r="K357" s="835">
        <v>44652</v>
      </c>
      <c r="L357" s="409">
        <v>0</v>
      </c>
      <c r="M357" s="409">
        <v>0</v>
      </c>
      <c r="N357" s="409">
        <v>116.187</v>
      </c>
      <c r="O357" s="409">
        <v>116.187</v>
      </c>
      <c r="P357" s="409">
        <v>116.187</v>
      </c>
      <c r="Q357" s="409">
        <v>116.187</v>
      </c>
      <c r="R357" s="409"/>
      <c r="S357" s="409">
        <v>328.35</v>
      </c>
      <c r="T357" s="409">
        <v>133.86000000000001</v>
      </c>
      <c r="U357" s="409"/>
      <c r="V357" s="409">
        <v>53702.793270000002</v>
      </c>
      <c r="W357" s="409">
        <v>53702.793270000002</v>
      </c>
      <c r="X357" s="409">
        <v>48647.496899999998</v>
      </c>
      <c r="Y357" s="409">
        <v>0</v>
      </c>
      <c r="Z357" s="409">
        <v>1590.1251279369048</v>
      </c>
      <c r="AA357" s="409">
        <v>0</v>
      </c>
      <c r="AB357" s="409">
        <v>0</v>
      </c>
      <c r="AC357" s="409">
        <v>0</v>
      </c>
      <c r="AD357" s="409">
        <v>7488.7152813028242</v>
      </c>
      <c r="AE357" s="409">
        <v>26202.63034214186</v>
      </c>
      <c r="AF357" s="409">
        <v>15553.13859644808</v>
      </c>
      <c r="AG357" s="409">
        <v>0</v>
      </c>
      <c r="AH357" s="409">
        <v>0</v>
      </c>
      <c r="AI357" s="409">
        <v>0</v>
      </c>
      <c r="AJ357" s="409">
        <v>0</v>
      </c>
      <c r="AK357" s="409">
        <v>0</v>
      </c>
      <c r="AL357" s="409">
        <v>649.19485715274311</v>
      </c>
      <c r="AM357" s="409"/>
      <c r="AN357" s="409">
        <v>109.71297683159275</v>
      </c>
      <c r="AO357" s="409">
        <v>0</v>
      </c>
      <c r="AP357" s="409">
        <v>0</v>
      </c>
      <c r="AQ357" s="409">
        <v>0</v>
      </c>
      <c r="AR357" s="409">
        <v>0</v>
      </c>
      <c r="AS357" s="409">
        <v>0</v>
      </c>
      <c r="AT357" s="409">
        <v>0</v>
      </c>
      <c r="AU357" s="409">
        <v>0</v>
      </c>
      <c r="AV357" s="409">
        <v>0</v>
      </c>
      <c r="AW357" s="409">
        <v>0</v>
      </c>
      <c r="AX357" s="409">
        <v>0</v>
      </c>
      <c r="AY357" s="409">
        <v>0</v>
      </c>
      <c r="AZ357" s="409">
        <v>0</v>
      </c>
      <c r="BA357" s="409"/>
      <c r="BB357" s="409">
        <v>0</v>
      </c>
      <c r="BC357" s="409">
        <v>0</v>
      </c>
      <c r="BD357" s="409">
        <v>0</v>
      </c>
      <c r="BE357" s="409">
        <v>0</v>
      </c>
      <c r="BF357" s="409">
        <v>0</v>
      </c>
      <c r="BG357" s="409">
        <v>2110.0292497963524</v>
      </c>
      <c r="BH357" s="409">
        <v>0</v>
      </c>
      <c r="BI357" s="409">
        <v>0</v>
      </c>
      <c r="BJ357" s="409">
        <v>0</v>
      </c>
      <c r="BK357" s="409">
        <v>0</v>
      </c>
      <c r="BL357" s="409">
        <v>5</v>
      </c>
      <c r="BM357" s="409"/>
      <c r="BN357" s="409"/>
      <c r="BO357" s="409"/>
      <c r="BP357" s="409"/>
      <c r="BQ357" s="409"/>
      <c r="BR357" s="409"/>
      <c r="BS357" s="409"/>
      <c r="BT357" s="409"/>
      <c r="BU357" s="409"/>
      <c r="BV357" s="409">
        <v>17663.167846244432</v>
      </c>
      <c r="BW357" s="409"/>
      <c r="BX357" s="409"/>
      <c r="BY357" s="409"/>
      <c r="BZ357" s="409"/>
      <c r="CA357" s="409"/>
      <c r="CB357" s="409"/>
      <c r="CC357" s="409"/>
      <c r="CD357" s="409"/>
      <c r="CE357" s="409"/>
      <c r="CF357" s="409"/>
      <c r="CG357" s="409"/>
      <c r="CH357" s="409"/>
      <c r="CI357" s="409">
        <v>48648.752999999997</v>
      </c>
      <c r="CJ357" s="409">
        <v>-5054.0702700000111</v>
      </c>
      <c r="CK357" s="409"/>
      <c r="CL357" s="409"/>
      <c r="CM357" s="409"/>
      <c r="CN357" s="409"/>
      <c r="CO357" s="409">
        <v>-5596.7277900000017</v>
      </c>
      <c r="CP357" s="409">
        <v>541.43141999999955</v>
      </c>
      <c r="CQ357" s="409">
        <v>30</v>
      </c>
      <c r="CR357" s="409">
        <v>950.4796807890234</v>
      </c>
      <c r="CS357" s="409">
        <v>0</v>
      </c>
      <c r="CT357" s="409">
        <v>0</v>
      </c>
      <c r="CU357" s="409">
        <v>0</v>
      </c>
      <c r="CV357" s="409">
        <v>0</v>
      </c>
      <c r="CW357" s="409">
        <v>0</v>
      </c>
      <c r="CX357" s="409">
        <v>0</v>
      </c>
      <c r="CY357" s="409">
        <v>0</v>
      </c>
      <c r="CZ357" s="409">
        <v>280.75656570593401</v>
      </c>
      <c r="DA357" s="409">
        <v>0</v>
      </c>
      <c r="DB357" s="409">
        <v>0</v>
      </c>
      <c r="DC357" s="409">
        <v>712.48782881380612</v>
      </c>
      <c r="DD357" s="409">
        <v>0</v>
      </c>
      <c r="DE357" s="409">
        <v>0</v>
      </c>
      <c r="DF357" s="409">
        <v>0</v>
      </c>
      <c r="DG357" s="409">
        <v>96.660243178451765</v>
      </c>
      <c r="DH357" s="409">
        <v>0</v>
      </c>
      <c r="DI357" s="409">
        <v>-11.59659289100091</v>
      </c>
      <c r="DJ357" s="409"/>
      <c r="DK357" s="409">
        <v>0</v>
      </c>
      <c r="DL357" s="409">
        <v>0</v>
      </c>
      <c r="DM357" s="409">
        <v>0</v>
      </c>
      <c r="DN357" s="409">
        <v>0</v>
      </c>
      <c r="DO357" s="409">
        <v>-3.6413029333722307</v>
      </c>
      <c r="DP357" s="409">
        <v>-6.462461415038149</v>
      </c>
      <c r="DQ357" s="409">
        <v>0</v>
      </c>
      <c r="DR357" s="409">
        <v>-117.72459966975757</v>
      </c>
      <c r="DS357" s="409"/>
      <c r="DT357" s="409"/>
      <c r="DU357" s="409"/>
      <c r="DV357" s="409">
        <v>26202.63034214186</v>
      </c>
      <c r="DW357" s="409">
        <v>0</v>
      </c>
      <c r="DX357" s="409">
        <v>0</v>
      </c>
      <c r="DY357" s="409">
        <v>-5596.7277900000045</v>
      </c>
      <c r="DZ357" s="409">
        <v>541.4314200000008</v>
      </c>
      <c r="EA357" s="409">
        <v>0</v>
      </c>
      <c r="EB357" s="409">
        <v>0</v>
      </c>
      <c r="EC357" s="409">
        <v>-6006.2590146079565</v>
      </c>
      <c r="ED357" s="409">
        <v>0</v>
      </c>
      <c r="EE357" s="409">
        <v>0</v>
      </c>
      <c r="EF357" s="409">
        <v>0</v>
      </c>
      <c r="EG357" s="409">
        <v>0</v>
      </c>
      <c r="EH357" s="409">
        <v>0</v>
      </c>
      <c r="EI357" s="409">
        <v>0</v>
      </c>
      <c r="EJ357" s="409">
        <v>0</v>
      </c>
      <c r="EK357" s="409">
        <v>0</v>
      </c>
      <c r="EL357" s="409">
        <v>0</v>
      </c>
      <c r="EM357" s="409">
        <v>0</v>
      </c>
      <c r="EN357" s="409">
        <v>0</v>
      </c>
      <c r="EO357" s="409">
        <v>0</v>
      </c>
      <c r="EP357" s="409">
        <v>0</v>
      </c>
      <c r="EQ357" s="409">
        <v>0</v>
      </c>
      <c r="ER357" s="409">
        <v>0</v>
      </c>
      <c r="ES357" s="409">
        <v>0</v>
      </c>
      <c r="ET357" s="409">
        <v>0</v>
      </c>
      <c r="EU357" s="409">
        <v>0</v>
      </c>
      <c r="EV357" s="409">
        <v>254</v>
      </c>
      <c r="EW357" s="409">
        <v>0</v>
      </c>
      <c r="EX357" s="409">
        <v>0</v>
      </c>
      <c r="EY357" s="409">
        <v>0</v>
      </c>
      <c r="EZ357" s="409"/>
      <c r="FA357" s="409">
        <v>0</v>
      </c>
      <c r="FB357" s="409"/>
      <c r="FC357" s="409"/>
      <c r="FD357" s="409"/>
      <c r="FE357" s="409"/>
      <c r="FF357" s="409">
        <v>0</v>
      </c>
      <c r="FG357" s="409">
        <v>0</v>
      </c>
      <c r="FH357" s="409">
        <v>0</v>
      </c>
      <c r="FI357" s="409">
        <v>0</v>
      </c>
    </row>
    <row r="358" spans="1:165">
      <c r="A358" s="409">
        <v>356</v>
      </c>
      <c r="B358" s="409" t="s">
        <v>1035</v>
      </c>
      <c r="C358" s="409" t="s">
        <v>2244</v>
      </c>
      <c r="D358" s="409" t="s">
        <v>1994</v>
      </c>
      <c r="E358" s="409" t="s">
        <v>1000</v>
      </c>
      <c r="F358" s="409" t="s">
        <v>2259</v>
      </c>
      <c r="G358" s="409" t="s">
        <v>1323</v>
      </c>
      <c r="H358" s="409" t="s">
        <v>1323</v>
      </c>
      <c r="I358" s="409" t="s">
        <v>1323</v>
      </c>
      <c r="J358" s="409" t="s">
        <v>2245</v>
      </c>
      <c r="K358" s="835">
        <v>44652</v>
      </c>
      <c r="L358" s="409">
        <v>0</v>
      </c>
      <c r="M358" s="409">
        <v>0</v>
      </c>
      <c r="N358" s="409">
        <v>74.944000000000003</v>
      </c>
      <c r="O358" s="409">
        <v>70.447360000000003</v>
      </c>
      <c r="P358" s="409">
        <v>74.944000000000003</v>
      </c>
      <c r="Q358" s="409">
        <v>70.447360000000003</v>
      </c>
      <c r="R358" s="409"/>
      <c r="S358" s="409">
        <v>597.01</v>
      </c>
      <c r="T358" s="409">
        <v>243.39</v>
      </c>
      <c r="U358" s="409"/>
      <c r="V358" s="409">
        <v>62982.937599999997</v>
      </c>
      <c r="W358" s="409">
        <v>62982.937599999997</v>
      </c>
      <c r="X358" s="409">
        <v>57053.368320000009</v>
      </c>
      <c r="Y358" s="409">
        <v>0</v>
      </c>
      <c r="Z358" s="409">
        <v>1864.8673351517691</v>
      </c>
      <c r="AA358" s="409">
        <v>0</v>
      </c>
      <c r="AB358" s="409">
        <v>0</v>
      </c>
      <c r="AC358" s="409">
        <v>0</v>
      </c>
      <c r="AD358" s="409">
        <v>8782.6173330604015</v>
      </c>
      <c r="AE358" s="409">
        <v>30729.92719982718</v>
      </c>
      <c r="AF358" s="409">
        <v>18240.41367438548</v>
      </c>
      <c r="AG358" s="409">
        <v>0</v>
      </c>
      <c r="AH358" s="409">
        <v>0</v>
      </c>
      <c r="AI358" s="409">
        <v>0</v>
      </c>
      <c r="AJ358" s="409">
        <v>0</v>
      </c>
      <c r="AK358" s="409">
        <v>0</v>
      </c>
      <c r="AL358" s="409">
        <v>761.36290281975187</v>
      </c>
      <c r="AM358" s="409"/>
      <c r="AN358" s="409">
        <v>128.66921171226119</v>
      </c>
      <c r="AO358" s="409">
        <v>0</v>
      </c>
      <c r="AP358" s="409">
        <v>0</v>
      </c>
      <c r="AQ358" s="409">
        <v>0</v>
      </c>
      <c r="AR358" s="409">
        <v>0</v>
      </c>
      <c r="AS358" s="409">
        <v>0</v>
      </c>
      <c r="AT358" s="409">
        <v>0</v>
      </c>
      <c r="AU358" s="409">
        <v>0</v>
      </c>
      <c r="AV358" s="409">
        <v>0</v>
      </c>
      <c r="AW358" s="409">
        <v>0</v>
      </c>
      <c r="AX358" s="409">
        <v>0</v>
      </c>
      <c r="AY358" s="409">
        <v>0</v>
      </c>
      <c r="AZ358" s="409">
        <v>0</v>
      </c>
      <c r="BA358" s="409"/>
      <c r="BB358" s="409">
        <v>0</v>
      </c>
      <c r="BC358" s="409">
        <v>0</v>
      </c>
      <c r="BD358" s="409">
        <v>0</v>
      </c>
      <c r="BE358" s="409">
        <v>0</v>
      </c>
      <c r="BF358" s="409">
        <v>0</v>
      </c>
      <c r="BG358" s="409">
        <v>2474.6006179182536</v>
      </c>
      <c r="BH358" s="409">
        <v>0</v>
      </c>
      <c r="BI358" s="409">
        <v>0</v>
      </c>
      <c r="BJ358" s="409">
        <v>0</v>
      </c>
      <c r="BK358" s="409">
        <v>0</v>
      </c>
      <c r="BL358" s="409">
        <v>9</v>
      </c>
      <c r="BM358" s="409"/>
      <c r="BN358" s="409"/>
      <c r="BO358" s="409"/>
      <c r="BP358" s="409"/>
      <c r="BQ358" s="409">
        <v>3423.2020991999998</v>
      </c>
      <c r="BR358" s="409"/>
      <c r="BS358" s="409"/>
      <c r="BT358" s="409"/>
      <c r="BU358" s="409"/>
      <c r="BV358" s="409">
        <v>20715.014292303735</v>
      </c>
      <c r="BW358" s="409"/>
      <c r="BX358" s="409"/>
      <c r="BY358" s="409"/>
      <c r="BZ358" s="409"/>
      <c r="CA358" s="409"/>
      <c r="CB358" s="409"/>
      <c r="CC358" s="409"/>
      <c r="CD358" s="409"/>
      <c r="CE358" s="409"/>
      <c r="CF358" s="409"/>
      <c r="CG358" s="409"/>
      <c r="CH358" s="409"/>
      <c r="CI358" s="409">
        <v>53632.176000000007</v>
      </c>
      <c r="CJ358" s="409">
        <v>-5571.8153439999951</v>
      </c>
      <c r="CK358" s="409"/>
      <c r="CL358" s="409"/>
      <c r="CM358" s="409"/>
      <c r="CN358" s="409"/>
      <c r="CO358" s="409">
        <v>-6563.5955199999989</v>
      </c>
      <c r="CP358" s="409">
        <v>634.0262400000006</v>
      </c>
      <c r="CQ358" s="409">
        <v>30</v>
      </c>
      <c r="CR358" s="409">
        <v>1114.7037917253328</v>
      </c>
      <c r="CS358" s="409">
        <v>0</v>
      </c>
      <c r="CT358" s="409">
        <v>0</v>
      </c>
      <c r="CU358" s="409">
        <v>0</v>
      </c>
      <c r="CV358" s="409">
        <v>0</v>
      </c>
      <c r="CW358" s="409">
        <v>0</v>
      </c>
      <c r="CX358" s="409">
        <v>0</v>
      </c>
      <c r="CY358" s="409">
        <v>0</v>
      </c>
      <c r="CZ358" s="409">
        <v>329.26575356602916</v>
      </c>
      <c r="DA358" s="409">
        <v>0</v>
      </c>
      <c r="DB358" s="409">
        <v>0</v>
      </c>
      <c r="DC358" s="409">
        <v>835.59164955275992</v>
      </c>
      <c r="DD358" s="409">
        <v>0</v>
      </c>
      <c r="DE358" s="409">
        <v>0</v>
      </c>
      <c r="DF358" s="409">
        <v>0</v>
      </c>
      <c r="DG358" s="409">
        <v>113.3612235567989</v>
      </c>
      <c r="DH358" s="409">
        <v>0</v>
      </c>
      <c r="DI358" s="409">
        <v>-13.600255037498755</v>
      </c>
      <c r="DJ358" s="409"/>
      <c r="DK358" s="409">
        <v>0</v>
      </c>
      <c r="DL358" s="409">
        <v>0</v>
      </c>
      <c r="DM358" s="409">
        <v>0</v>
      </c>
      <c r="DN358" s="409">
        <v>0</v>
      </c>
      <c r="DO358" s="409">
        <v>-4.2704481418095384</v>
      </c>
      <c r="DP358" s="409">
        <v>-7.5790470736219788</v>
      </c>
      <c r="DQ358" s="409">
        <v>0</v>
      </c>
      <c r="DR358" s="409">
        <v>-138.06508469732199</v>
      </c>
      <c r="DS358" s="409"/>
      <c r="DT358" s="409"/>
      <c r="DU358" s="409"/>
      <c r="DV358" s="409">
        <v>30729.92719982718</v>
      </c>
      <c r="DW358" s="409">
        <v>0</v>
      </c>
      <c r="DX358" s="409">
        <v>0</v>
      </c>
      <c r="DY358" s="409">
        <v>-6563.5955199999953</v>
      </c>
      <c r="DZ358" s="409">
        <v>634.02624000000287</v>
      </c>
      <c r="EA358" s="409">
        <v>0</v>
      </c>
      <c r="EB358" s="409">
        <v>0</v>
      </c>
      <c r="EC358" s="409">
        <v>-7044.0219112414306</v>
      </c>
      <c r="ED358" s="409">
        <v>0</v>
      </c>
      <c r="EE358" s="409">
        <v>0</v>
      </c>
      <c r="EF358" s="409">
        <v>0</v>
      </c>
      <c r="EG358" s="409">
        <v>0</v>
      </c>
      <c r="EH358" s="409">
        <v>0</v>
      </c>
      <c r="EI358" s="409">
        <v>0</v>
      </c>
      <c r="EJ358" s="409">
        <v>0</v>
      </c>
      <c r="EK358" s="409">
        <v>0</v>
      </c>
      <c r="EL358" s="409">
        <v>0</v>
      </c>
      <c r="EM358" s="409">
        <v>0</v>
      </c>
      <c r="EN358" s="409">
        <v>0</v>
      </c>
      <c r="EO358" s="409">
        <v>0</v>
      </c>
      <c r="EP358" s="409">
        <v>0</v>
      </c>
      <c r="EQ358" s="409">
        <v>0</v>
      </c>
      <c r="ER358" s="409">
        <v>0</v>
      </c>
      <c r="ES358" s="409">
        <v>0</v>
      </c>
      <c r="ET358" s="409">
        <v>0</v>
      </c>
      <c r="EU358" s="409">
        <v>0</v>
      </c>
      <c r="EV358" s="409">
        <v>254</v>
      </c>
      <c r="EW358" s="409">
        <v>0</v>
      </c>
      <c r="EX358" s="409">
        <v>0</v>
      </c>
      <c r="EY358" s="409">
        <v>0</v>
      </c>
      <c r="EZ358" s="409"/>
      <c r="FA358" s="409">
        <v>0</v>
      </c>
      <c r="FB358" s="409"/>
      <c r="FC358" s="409"/>
      <c r="FD358" s="409"/>
      <c r="FE358" s="409"/>
      <c r="FF358" s="409">
        <v>0</v>
      </c>
      <c r="FG358" s="409">
        <v>0</v>
      </c>
      <c r="FH358" s="409">
        <v>0</v>
      </c>
      <c r="FI358" s="409">
        <v>0</v>
      </c>
    </row>
    <row r="359" spans="1:165">
      <c r="A359" s="409">
        <v>357</v>
      </c>
      <c r="B359" s="409" t="s">
        <v>1035</v>
      </c>
      <c r="C359" s="409" t="s">
        <v>2244</v>
      </c>
      <c r="D359" s="409" t="s">
        <v>1994</v>
      </c>
      <c r="E359" s="409" t="s">
        <v>2260</v>
      </c>
      <c r="F359" s="409" t="s">
        <v>1323</v>
      </c>
      <c r="G359" s="409" t="s">
        <v>1323</v>
      </c>
      <c r="H359" s="409" t="s">
        <v>1323</v>
      </c>
      <c r="I359" s="409" t="s">
        <v>1323</v>
      </c>
      <c r="J359" s="409" t="s">
        <v>2245</v>
      </c>
      <c r="K359" s="835">
        <v>44652</v>
      </c>
      <c r="L359" s="409">
        <v>0</v>
      </c>
      <c r="M359" s="409">
        <v>0</v>
      </c>
      <c r="N359" s="409">
        <v>3.556</v>
      </c>
      <c r="O359" s="409">
        <v>3.556</v>
      </c>
      <c r="P359" s="409">
        <v>3.556</v>
      </c>
      <c r="Q359" s="409">
        <v>3.556</v>
      </c>
      <c r="R359" s="409"/>
      <c r="S359" s="409">
        <v>597.01</v>
      </c>
      <c r="T359" s="409">
        <v>243.39</v>
      </c>
      <c r="U359" s="409"/>
      <c r="V359" s="409">
        <v>2988.4623999999999</v>
      </c>
      <c r="W359" s="409">
        <v>2988.4623999999999</v>
      </c>
      <c r="X359" s="409">
        <v>2707.11168</v>
      </c>
      <c r="Y359" s="409">
        <v>0</v>
      </c>
      <c r="Z359" s="409">
        <v>88.485645866242663</v>
      </c>
      <c r="AA359" s="409">
        <v>0</v>
      </c>
      <c r="AB359" s="409">
        <v>0</v>
      </c>
      <c r="AC359" s="409">
        <v>0</v>
      </c>
      <c r="AD359" s="409">
        <v>416.72431730842749</v>
      </c>
      <c r="AE359" s="409">
        <v>1458.0969940567018</v>
      </c>
      <c r="AF359" s="409">
        <v>865.48504251327347</v>
      </c>
      <c r="AG359" s="409">
        <v>0</v>
      </c>
      <c r="AH359" s="409">
        <v>0</v>
      </c>
      <c r="AI359" s="409">
        <v>0</v>
      </c>
      <c r="AJ359" s="409">
        <v>0</v>
      </c>
      <c r="AK359" s="409">
        <v>0</v>
      </c>
      <c r="AL359" s="409">
        <v>36.125726975168625</v>
      </c>
      <c r="AM359" s="409"/>
      <c r="AN359" s="409">
        <v>6.1051947700790032</v>
      </c>
      <c r="AO359" s="409">
        <v>0</v>
      </c>
      <c r="AP359" s="409">
        <v>0</v>
      </c>
      <c r="AQ359" s="409">
        <v>0</v>
      </c>
      <c r="AR359" s="409">
        <v>0</v>
      </c>
      <c r="AS359" s="409">
        <v>0</v>
      </c>
      <c r="AT359" s="409">
        <v>0</v>
      </c>
      <c r="AU359" s="409">
        <v>0</v>
      </c>
      <c r="AV359" s="409">
        <v>0</v>
      </c>
      <c r="AW359" s="409">
        <v>0</v>
      </c>
      <c r="AX359" s="409">
        <v>0</v>
      </c>
      <c r="AY359" s="409">
        <v>0</v>
      </c>
      <c r="AZ359" s="409">
        <v>0</v>
      </c>
      <c r="BA359" s="409"/>
      <c r="BB359" s="409">
        <v>0</v>
      </c>
      <c r="BC359" s="409">
        <v>0</v>
      </c>
      <c r="BD359" s="409">
        <v>0</v>
      </c>
      <c r="BE359" s="409">
        <v>0</v>
      </c>
      <c r="BF359" s="409">
        <v>0</v>
      </c>
      <c r="BG359" s="409">
        <v>117.41673512645855</v>
      </c>
      <c r="BH359" s="409">
        <v>0</v>
      </c>
      <c r="BI359" s="409">
        <v>0</v>
      </c>
      <c r="BJ359" s="409">
        <v>0</v>
      </c>
      <c r="BK359" s="409">
        <v>1070.69</v>
      </c>
      <c r="BL359" s="409">
        <v>3</v>
      </c>
      <c r="BM359" s="409"/>
      <c r="BN359" s="409"/>
      <c r="BO359" s="409"/>
      <c r="BP359" s="409"/>
      <c r="BQ359" s="409"/>
      <c r="BR359" s="409"/>
      <c r="BS359" s="409"/>
      <c r="BT359" s="409"/>
      <c r="BU359" s="409"/>
      <c r="BV359" s="409">
        <v>982.90177763973202</v>
      </c>
      <c r="BW359" s="409"/>
      <c r="BX359" s="409"/>
      <c r="BY359" s="409"/>
      <c r="BZ359" s="409"/>
      <c r="CA359" s="409"/>
      <c r="CB359" s="409"/>
      <c r="CC359" s="409"/>
      <c r="CD359" s="409"/>
      <c r="CE359" s="409"/>
      <c r="CF359" s="409"/>
      <c r="CG359" s="409"/>
      <c r="CH359" s="409"/>
      <c r="CI359" s="409">
        <v>2710.1567999999997</v>
      </c>
      <c r="CJ359" s="409">
        <v>-278.3356000000008</v>
      </c>
      <c r="CK359" s="409"/>
      <c r="CL359" s="409"/>
      <c r="CM359" s="409"/>
      <c r="CN359" s="409"/>
      <c r="CO359" s="409">
        <v>-311.43447999999995</v>
      </c>
      <c r="CP359" s="409">
        <v>30.08376000000003</v>
      </c>
      <c r="CQ359" s="409">
        <v>30</v>
      </c>
      <c r="CR359" s="409">
        <v>52.891314626591566</v>
      </c>
      <c r="CS359" s="409">
        <v>0</v>
      </c>
      <c r="CT359" s="409">
        <v>0</v>
      </c>
      <c r="CU359" s="409">
        <v>0</v>
      </c>
      <c r="CV359" s="409">
        <v>0</v>
      </c>
      <c r="CW359" s="409">
        <v>0</v>
      </c>
      <c r="CX359" s="409">
        <v>0</v>
      </c>
      <c r="CY359" s="409">
        <v>0</v>
      </c>
      <c r="CZ359" s="409">
        <v>15.623252290787775</v>
      </c>
      <c r="DA359" s="409">
        <v>0</v>
      </c>
      <c r="DB359" s="409">
        <v>0</v>
      </c>
      <c r="DC359" s="409">
        <v>39.647789093317783</v>
      </c>
      <c r="DD359" s="409">
        <v>0</v>
      </c>
      <c r="DE359" s="409">
        <v>0</v>
      </c>
      <c r="DF359" s="409">
        <v>0</v>
      </c>
      <c r="DG359" s="409">
        <v>5.3788496873395815</v>
      </c>
      <c r="DH359" s="409">
        <v>0</v>
      </c>
      <c r="DI359" s="409">
        <v>-0.64531526090607372</v>
      </c>
      <c r="DJ359" s="409"/>
      <c r="DK359" s="409">
        <v>0</v>
      </c>
      <c r="DL359" s="409">
        <v>0</v>
      </c>
      <c r="DM359" s="409">
        <v>0</v>
      </c>
      <c r="DN359" s="409">
        <v>0</v>
      </c>
      <c r="DO359" s="409">
        <v>-0.20262747641271517</v>
      </c>
      <c r="DP359" s="409">
        <v>-0.35961639882845642</v>
      </c>
      <c r="DQ359" s="409">
        <v>0</v>
      </c>
      <c r="DR359" s="409">
        <v>-6.5510173087061929</v>
      </c>
      <c r="DS359" s="409"/>
      <c r="DT359" s="409"/>
      <c r="DU359" s="409"/>
      <c r="DV359" s="409">
        <v>1458.0969940567018</v>
      </c>
      <c r="DW359" s="409">
        <v>0</v>
      </c>
      <c r="DX359" s="409">
        <v>0</v>
      </c>
      <c r="DY359" s="409">
        <v>-311.43447999999989</v>
      </c>
      <c r="DZ359" s="409">
        <v>30.083759999999984</v>
      </c>
      <c r="EA359" s="409">
        <v>0</v>
      </c>
      <c r="EB359" s="409">
        <v>0</v>
      </c>
      <c r="EC359" s="409">
        <v>-334.23011737263209</v>
      </c>
      <c r="ED359" s="409">
        <v>0</v>
      </c>
      <c r="EE359" s="409">
        <v>0</v>
      </c>
      <c r="EF359" s="409">
        <v>0</v>
      </c>
      <c r="EG359" s="409">
        <v>0</v>
      </c>
      <c r="EH359" s="409">
        <v>0</v>
      </c>
      <c r="EI359" s="409">
        <v>0</v>
      </c>
      <c r="EJ359" s="409">
        <v>0</v>
      </c>
      <c r="EK359" s="409">
        <v>0</v>
      </c>
      <c r="EL359" s="409">
        <v>0</v>
      </c>
      <c r="EM359" s="409">
        <v>0</v>
      </c>
      <c r="EN359" s="409">
        <v>0</v>
      </c>
      <c r="EO359" s="409">
        <v>0</v>
      </c>
      <c r="EP359" s="409">
        <v>0</v>
      </c>
      <c r="EQ359" s="409">
        <v>0</v>
      </c>
      <c r="ER359" s="409">
        <v>0</v>
      </c>
      <c r="ES359" s="409">
        <v>0</v>
      </c>
      <c r="ET359" s="409">
        <v>0</v>
      </c>
      <c r="EU359" s="409">
        <v>0</v>
      </c>
      <c r="EV359" s="409">
        <v>254</v>
      </c>
      <c r="EW359" s="409">
        <v>0</v>
      </c>
      <c r="EX359" s="409">
        <v>0</v>
      </c>
      <c r="EY359" s="409">
        <v>0</v>
      </c>
      <c r="EZ359" s="409"/>
      <c r="FA359" s="409">
        <v>0</v>
      </c>
      <c r="FB359" s="409"/>
      <c r="FC359" s="409"/>
      <c r="FD359" s="409"/>
      <c r="FE359" s="409"/>
      <c r="FF359" s="409">
        <v>0</v>
      </c>
      <c r="FG359" s="409">
        <v>0</v>
      </c>
      <c r="FH359" s="409">
        <v>0</v>
      </c>
      <c r="FI359" s="409">
        <v>0</v>
      </c>
    </row>
    <row r="360" spans="1:165">
      <c r="A360" s="409">
        <v>358</v>
      </c>
      <c r="B360" s="409" t="s">
        <v>1035</v>
      </c>
      <c r="C360" s="409" t="s">
        <v>2244</v>
      </c>
      <c r="D360" s="409" t="s">
        <v>2254</v>
      </c>
      <c r="E360" s="409" t="s">
        <v>973</v>
      </c>
      <c r="F360" s="409" t="s">
        <v>2261</v>
      </c>
      <c r="G360" s="409" t="s">
        <v>2262</v>
      </c>
      <c r="H360" s="409" t="s">
        <v>1323</v>
      </c>
      <c r="I360" s="409" t="s">
        <v>1323</v>
      </c>
      <c r="J360" s="409" t="s">
        <v>2245</v>
      </c>
      <c r="K360" s="835">
        <v>44652</v>
      </c>
      <c r="L360" s="409">
        <v>0</v>
      </c>
      <c r="M360" s="409">
        <v>0</v>
      </c>
      <c r="N360" s="409">
        <v>0</v>
      </c>
      <c r="O360" s="409">
        <v>0</v>
      </c>
      <c r="P360" s="409">
        <v>0</v>
      </c>
      <c r="Q360" s="409">
        <v>0</v>
      </c>
      <c r="R360" s="409"/>
      <c r="S360" s="409"/>
      <c r="T360" s="409"/>
      <c r="U360" s="409"/>
      <c r="V360" s="409"/>
      <c r="W360" s="409"/>
      <c r="X360" s="409"/>
      <c r="Y360" s="409"/>
      <c r="Z360" s="409"/>
      <c r="AA360" s="409">
        <v>0</v>
      </c>
      <c r="AB360" s="409"/>
      <c r="AC360" s="409"/>
      <c r="AD360" s="409"/>
      <c r="AE360" s="409"/>
      <c r="AF360" s="409"/>
      <c r="AG360" s="409"/>
      <c r="AH360" s="409"/>
      <c r="AI360" s="409"/>
      <c r="AJ360" s="409"/>
      <c r="AK360" s="409"/>
      <c r="AL360" s="409"/>
      <c r="AM360" s="409"/>
      <c r="AN360" s="409"/>
      <c r="AO360" s="409"/>
      <c r="AP360" s="409"/>
      <c r="AQ360" s="409"/>
      <c r="AR360" s="409"/>
      <c r="AS360" s="409"/>
      <c r="AT360" s="409"/>
      <c r="AU360" s="409"/>
      <c r="AV360" s="409"/>
      <c r="AW360" s="409"/>
      <c r="AX360" s="409"/>
      <c r="AY360" s="409"/>
      <c r="AZ360" s="409">
        <v>0</v>
      </c>
      <c r="BA360" s="409"/>
      <c r="BB360" s="409"/>
      <c r="BC360" s="409"/>
      <c r="BD360" s="409"/>
      <c r="BE360" s="409"/>
      <c r="BF360" s="409"/>
      <c r="BG360" s="409"/>
      <c r="BH360" s="409"/>
      <c r="BI360" s="409">
        <v>0</v>
      </c>
      <c r="BJ360" s="409">
        <v>0</v>
      </c>
      <c r="BK360" s="409">
        <v>0</v>
      </c>
      <c r="BL360" s="409">
        <v>8</v>
      </c>
      <c r="BM360" s="409"/>
      <c r="BN360" s="409"/>
      <c r="BO360" s="409"/>
      <c r="BP360" s="409"/>
      <c r="BQ360" s="409"/>
      <c r="BR360" s="409"/>
      <c r="BS360" s="409"/>
      <c r="BT360" s="409"/>
      <c r="BU360" s="409"/>
      <c r="BV360" s="409"/>
      <c r="BW360" s="409"/>
      <c r="BX360" s="409"/>
      <c r="BY360" s="409"/>
      <c r="BZ360" s="409"/>
      <c r="CA360" s="409"/>
      <c r="CB360" s="409"/>
      <c r="CC360" s="409"/>
      <c r="CD360" s="409"/>
      <c r="CE360" s="409"/>
      <c r="CF360" s="409"/>
      <c r="CG360" s="409"/>
      <c r="CH360" s="409"/>
      <c r="CI360" s="409"/>
      <c r="CJ360" s="409">
        <v>-0.03</v>
      </c>
      <c r="CK360" s="409"/>
      <c r="CL360" s="409"/>
      <c r="CM360" s="409"/>
      <c r="CN360" s="409"/>
      <c r="CO360" s="409">
        <v>0</v>
      </c>
      <c r="CP360" s="409">
        <v>0</v>
      </c>
      <c r="CQ360" s="409">
        <v>30</v>
      </c>
      <c r="CR360" s="409"/>
      <c r="CS360" s="409"/>
      <c r="CT360" s="409"/>
      <c r="CU360" s="409"/>
      <c r="CV360" s="409"/>
      <c r="CW360" s="409"/>
      <c r="CX360" s="409"/>
      <c r="CY360" s="409"/>
      <c r="CZ360" s="409"/>
      <c r="DA360" s="409"/>
      <c r="DB360" s="409"/>
      <c r="DC360" s="409"/>
      <c r="DD360" s="409"/>
      <c r="DE360" s="409"/>
      <c r="DF360" s="409"/>
      <c r="DG360" s="409"/>
      <c r="DH360" s="409"/>
      <c r="DI360" s="409"/>
      <c r="DJ360" s="409"/>
      <c r="DK360" s="409">
        <v>0</v>
      </c>
      <c r="DL360" s="409"/>
      <c r="DM360" s="409"/>
      <c r="DN360" s="409"/>
      <c r="DO360" s="409"/>
      <c r="DP360" s="409"/>
      <c r="DQ360" s="409"/>
      <c r="DR360" s="409"/>
      <c r="DS360" s="409"/>
      <c r="DT360" s="409"/>
      <c r="DU360" s="409"/>
      <c r="DV360" s="409"/>
      <c r="DW360" s="409"/>
      <c r="DX360" s="409"/>
      <c r="DY360" s="409"/>
      <c r="DZ360" s="409"/>
      <c r="EA360" s="409"/>
      <c r="EB360" s="409"/>
      <c r="EC360" s="409"/>
      <c r="ED360" s="409"/>
      <c r="EE360" s="409"/>
      <c r="EF360" s="409"/>
      <c r="EG360" s="409"/>
      <c r="EH360" s="409"/>
      <c r="EI360" s="409"/>
      <c r="EJ360" s="409"/>
      <c r="EK360" s="409"/>
      <c r="EL360" s="409"/>
      <c r="EM360" s="409"/>
      <c r="EN360" s="409"/>
      <c r="EO360" s="409"/>
      <c r="EP360" s="409"/>
      <c r="EQ360" s="409"/>
      <c r="ER360" s="409"/>
      <c r="ES360" s="409"/>
      <c r="ET360" s="409"/>
      <c r="EU360" s="409"/>
      <c r="EV360" s="409">
        <v>254</v>
      </c>
      <c r="EW360" s="409"/>
      <c r="EX360" s="409"/>
      <c r="EY360" s="409"/>
      <c r="EZ360" s="409"/>
      <c r="FA360" s="409">
        <v>0</v>
      </c>
      <c r="FB360" s="409"/>
      <c r="FC360" s="409"/>
      <c r="FD360" s="409"/>
      <c r="FE360" s="409"/>
      <c r="FF360" s="409">
        <v>0</v>
      </c>
      <c r="FG360" s="409">
        <v>0</v>
      </c>
      <c r="FH360" s="409">
        <v>0</v>
      </c>
      <c r="FI360" s="409">
        <v>0</v>
      </c>
    </row>
    <row r="361" spans="1:165">
      <c r="A361" s="409">
        <v>359</v>
      </c>
      <c r="B361" s="409" t="s">
        <v>1035</v>
      </c>
      <c r="C361" s="409" t="s">
        <v>2244</v>
      </c>
      <c r="D361" s="409" t="s">
        <v>2254</v>
      </c>
      <c r="E361" s="409" t="s">
        <v>973</v>
      </c>
      <c r="F361" s="409" t="s">
        <v>2261</v>
      </c>
      <c r="G361" s="409" t="s">
        <v>2262</v>
      </c>
      <c r="H361" s="409" t="s">
        <v>1323</v>
      </c>
      <c r="I361" s="409" t="s">
        <v>1323</v>
      </c>
      <c r="J361" s="409" t="s">
        <v>2245</v>
      </c>
      <c r="K361" s="835">
        <v>44652</v>
      </c>
      <c r="L361" s="409">
        <v>0</v>
      </c>
      <c r="M361" s="409">
        <v>0</v>
      </c>
      <c r="N361" s="409">
        <v>5.8929999999999998</v>
      </c>
      <c r="O361" s="409">
        <v>5.8929999999999998</v>
      </c>
      <c r="P361" s="409">
        <v>5.8929999999999998</v>
      </c>
      <c r="Q361" s="409">
        <v>5.8929999999999998</v>
      </c>
      <c r="R361" s="409"/>
      <c r="S361" s="409">
        <v>597.01</v>
      </c>
      <c r="T361" s="409">
        <v>243.39</v>
      </c>
      <c r="U361" s="409"/>
      <c r="V361" s="409">
        <v>4952.4771999999994</v>
      </c>
      <c r="W361" s="409">
        <v>4952.4771999999994</v>
      </c>
      <c r="X361" s="409">
        <v>4486.2230399999999</v>
      </c>
      <c r="Y361" s="409">
        <v>0</v>
      </c>
      <c r="Z361" s="409">
        <v>146.63833270240946</v>
      </c>
      <c r="AA361" s="409">
        <v>0</v>
      </c>
      <c r="AB361" s="409">
        <v>0</v>
      </c>
      <c r="AC361" s="409">
        <v>0</v>
      </c>
      <c r="AD361" s="409">
        <v>690.59516363851606</v>
      </c>
      <c r="AE361" s="409">
        <v>2416.3570264274867</v>
      </c>
      <c r="AF361" s="409">
        <v>1434.2810336138134</v>
      </c>
      <c r="AG361" s="409">
        <v>0</v>
      </c>
      <c r="AH361" s="409">
        <v>0</v>
      </c>
      <c r="AI361" s="409">
        <v>0</v>
      </c>
      <c r="AJ361" s="409">
        <v>0</v>
      </c>
      <c r="AK361" s="409">
        <v>0</v>
      </c>
      <c r="AL361" s="409">
        <v>59.867522234158805</v>
      </c>
      <c r="AM361" s="409"/>
      <c r="AN361" s="409">
        <v>10.117523278986379</v>
      </c>
      <c r="AO361" s="409">
        <v>0</v>
      </c>
      <c r="AP361" s="409">
        <v>0</v>
      </c>
      <c r="AQ361" s="409">
        <v>0</v>
      </c>
      <c r="AR361" s="409">
        <v>0</v>
      </c>
      <c r="AS361" s="409">
        <v>0</v>
      </c>
      <c r="AT361" s="409">
        <v>0</v>
      </c>
      <c r="AU361" s="409">
        <v>0</v>
      </c>
      <c r="AV361" s="409">
        <v>0</v>
      </c>
      <c r="AW361" s="409">
        <v>0</v>
      </c>
      <c r="AX361" s="409">
        <v>0</v>
      </c>
      <c r="AY361" s="409">
        <v>0</v>
      </c>
      <c r="AZ361" s="409">
        <v>0</v>
      </c>
      <c r="BA361" s="409"/>
      <c r="BB361" s="409">
        <v>0</v>
      </c>
      <c r="BC361" s="409">
        <v>0</v>
      </c>
      <c r="BD361" s="409">
        <v>0</v>
      </c>
      <c r="BE361" s="409">
        <v>0</v>
      </c>
      <c r="BF361" s="409">
        <v>0</v>
      </c>
      <c r="BG361" s="409">
        <v>194.58290778971323</v>
      </c>
      <c r="BH361" s="409">
        <v>0</v>
      </c>
      <c r="BI361" s="409">
        <v>0</v>
      </c>
      <c r="BJ361" s="409">
        <v>0</v>
      </c>
      <c r="BK361" s="409">
        <v>0</v>
      </c>
      <c r="BL361" s="409">
        <v>0</v>
      </c>
      <c r="BM361" s="409"/>
      <c r="BN361" s="409"/>
      <c r="BO361" s="409"/>
      <c r="BP361" s="409"/>
      <c r="BQ361" s="409"/>
      <c r="BR361" s="409">
        <v>538.38447999999994</v>
      </c>
      <c r="BS361" s="409"/>
      <c r="BT361" s="409"/>
      <c r="BU361" s="409"/>
      <c r="BV361" s="409">
        <v>1628.8639414035267</v>
      </c>
      <c r="BW361" s="409"/>
      <c r="BX361" s="409"/>
      <c r="BY361" s="409"/>
      <c r="BZ361" s="409"/>
      <c r="CA361" s="409"/>
      <c r="CB361" s="409"/>
      <c r="CC361" s="409"/>
      <c r="CD361" s="409"/>
      <c r="CE361" s="409"/>
      <c r="CF361" s="409"/>
      <c r="CG361" s="409"/>
      <c r="CH361" s="409"/>
      <c r="CI361" s="409">
        <v>3945.8288000000002</v>
      </c>
      <c r="CJ361" s="409">
        <v>-412.36934999999994</v>
      </c>
      <c r="CK361" s="409"/>
      <c r="CL361" s="409"/>
      <c r="CM361" s="409"/>
      <c r="CN361" s="409"/>
      <c r="CO361" s="409">
        <v>-516.10893999999985</v>
      </c>
      <c r="CP361" s="409">
        <v>49.854780000000048</v>
      </c>
      <c r="CQ361" s="409">
        <v>30</v>
      </c>
      <c r="CR361" s="409">
        <v>87.651439002953339</v>
      </c>
      <c r="CS361" s="409">
        <v>0</v>
      </c>
      <c r="CT361" s="409">
        <v>0</v>
      </c>
      <c r="CU361" s="409">
        <v>0</v>
      </c>
      <c r="CV361" s="409">
        <v>0</v>
      </c>
      <c r="CW361" s="409">
        <v>0</v>
      </c>
      <c r="CX361" s="409">
        <v>0</v>
      </c>
      <c r="CY361" s="409">
        <v>0</v>
      </c>
      <c r="CZ361" s="409">
        <v>25.890839637123804</v>
      </c>
      <c r="DA361" s="409">
        <v>0</v>
      </c>
      <c r="DB361" s="409">
        <v>0</v>
      </c>
      <c r="DC361" s="409">
        <v>65.704280406895805</v>
      </c>
      <c r="DD361" s="409">
        <v>0</v>
      </c>
      <c r="DE361" s="409">
        <v>0</v>
      </c>
      <c r="DF361" s="409">
        <v>0</v>
      </c>
      <c r="DG361" s="409">
        <v>8.9138248614994495</v>
      </c>
      <c r="DH361" s="409">
        <v>0</v>
      </c>
      <c r="DI361" s="409">
        <v>-1.0694158696624356</v>
      </c>
      <c r="DJ361" s="409"/>
      <c r="DK361" s="409">
        <v>0</v>
      </c>
      <c r="DL361" s="409">
        <v>0</v>
      </c>
      <c r="DM361" s="409">
        <v>0</v>
      </c>
      <c r="DN361" s="409">
        <v>0</v>
      </c>
      <c r="DO361" s="409">
        <v>-0.33579407156921803</v>
      </c>
      <c r="DP361" s="409">
        <v>-0.59595597252421051</v>
      </c>
      <c r="DQ361" s="409">
        <v>0</v>
      </c>
      <c r="DR361" s="409">
        <v>-10.856339988809221</v>
      </c>
      <c r="DS361" s="409"/>
      <c r="DT361" s="409"/>
      <c r="DU361" s="409"/>
      <c r="DV361" s="409">
        <v>2416.3570264274867</v>
      </c>
      <c r="DW361" s="409">
        <v>0</v>
      </c>
      <c r="DX361" s="409">
        <v>0</v>
      </c>
      <c r="DY361" s="409">
        <v>-516.10894000000008</v>
      </c>
      <c r="DZ361" s="409">
        <v>49.854780000000119</v>
      </c>
      <c r="EA361" s="409">
        <v>0</v>
      </c>
      <c r="EB361" s="409">
        <v>0</v>
      </c>
      <c r="EC361" s="409">
        <v>-553.88584974041623</v>
      </c>
      <c r="ED361" s="409">
        <v>0</v>
      </c>
      <c r="EE361" s="409">
        <v>0</v>
      </c>
      <c r="EF361" s="409">
        <v>0</v>
      </c>
      <c r="EG361" s="409">
        <v>0</v>
      </c>
      <c r="EH361" s="409">
        <v>0</v>
      </c>
      <c r="EI361" s="409">
        <v>0</v>
      </c>
      <c r="EJ361" s="409">
        <v>0</v>
      </c>
      <c r="EK361" s="409">
        <v>0</v>
      </c>
      <c r="EL361" s="409">
        <v>0</v>
      </c>
      <c r="EM361" s="409">
        <v>0</v>
      </c>
      <c r="EN361" s="409">
        <v>0</v>
      </c>
      <c r="EO361" s="409">
        <v>0</v>
      </c>
      <c r="EP361" s="409">
        <v>0</v>
      </c>
      <c r="EQ361" s="409">
        <v>0</v>
      </c>
      <c r="ER361" s="409">
        <v>0</v>
      </c>
      <c r="ES361" s="409">
        <v>0</v>
      </c>
      <c r="ET361" s="409">
        <v>0</v>
      </c>
      <c r="EU361" s="409">
        <v>0</v>
      </c>
      <c r="EV361" s="409">
        <v>254</v>
      </c>
      <c r="EW361" s="409">
        <v>0</v>
      </c>
      <c r="EX361" s="409">
        <v>0</v>
      </c>
      <c r="EY361" s="409">
        <v>0</v>
      </c>
      <c r="EZ361" s="409"/>
      <c r="FA361" s="409">
        <v>0</v>
      </c>
      <c r="FB361" s="409"/>
      <c r="FC361" s="409"/>
      <c r="FD361" s="409"/>
      <c r="FE361" s="409"/>
      <c r="FF361" s="409">
        <v>0</v>
      </c>
      <c r="FG361" s="409">
        <v>0</v>
      </c>
      <c r="FH361" s="409">
        <v>0</v>
      </c>
      <c r="FI361" s="409">
        <v>0</v>
      </c>
    </row>
    <row r="362" spans="1:165">
      <c r="A362" s="409">
        <v>360</v>
      </c>
      <c r="B362" s="409" t="s">
        <v>1035</v>
      </c>
      <c r="C362" s="409" t="s">
        <v>2244</v>
      </c>
      <c r="D362" s="409" t="s">
        <v>2254</v>
      </c>
      <c r="E362" s="409" t="s">
        <v>973</v>
      </c>
      <c r="F362" s="409" t="s">
        <v>2261</v>
      </c>
      <c r="G362" s="409" t="s">
        <v>2263</v>
      </c>
      <c r="H362" s="409" t="s">
        <v>1323</v>
      </c>
      <c r="I362" s="409" t="s">
        <v>1323</v>
      </c>
      <c r="J362" s="409" t="s">
        <v>2245</v>
      </c>
      <c r="K362" s="835">
        <v>44652</v>
      </c>
      <c r="L362" s="409">
        <v>0</v>
      </c>
      <c r="M362" s="409">
        <v>0</v>
      </c>
      <c r="N362" s="409">
        <v>3.532</v>
      </c>
      <c r="O362" s="409">
        <v>0.95364000000000004</v>
      </c>
      <c r="P362" s="409">
        <v>3.532</v>
      </c>
      <c r="Q362" s="409">
        <v>0.95364000000000004</v>
      </c>
      <c r="R362" s="409"/>
      <c r="S362" s="409">
        <v>597.01</v>
      </c>
      <c r="T362" s="409">
        <v>243.39</v>
      </c>
      <c r="U362" s="409"/>
      <c r="V362" s="409">
        <v>2968.2927999999997</v>
      </c>
      <c r="W362" s="409">
        <v>2968.2927999999997</v>
      </c>
      <c r="X362" s="409">
        <v>2688.84096</v>
      </c>
      <c r="Y362" s="409">
        <v>0</v>
      </c>
      <c r="Z362" s="409">
        <v>87.888442407077932</v>
      </c>
      <c r="AA362" s="409">
        <v>0</v>
      </c>
      <c r="AB362" s="409">
        <v>0</v>
      </c>
      <c r="AC362" s="409">
        <v>0</v>
      </c>
      <c r="AD362" s="409">
        <v>413.9117797337924</v>
      </c>
      <c r="AE362" s="409">
        <v>1448.2560694623933</v>
      </c>
      <c r="AF362" s="409">
        <v>859.64374863804323</v>
      </c>
      <c r="AG362" s="409">
        <v>0</v>
      </c>
      <c r="AH362" s="409">
        <v>0</v>
      </c>
      <c r="AI362" s="409">
        <v>0</v>
      </c>
      <c r="AJ362" s="409">
        <v>0</v>
      </c>
      <c r="AK362" s="409">
        <v>0</v>
      </c>
      <c r="AL362" s="409">
        <v>35.881908795358711</v>
      </c>
      <c r="AM362" s="409"/>
      <c r="AN362" s="409">
        <v>6.0639898559952305</v>
      </c>
      <c r="AO362" s="409">
        <v>0</v>
      </c>
      <c r="AP362" s="409">
        <v>0</v>
      </c>
      <c r="AQ362" s="409">
        <v>0</v>
      </c>
      <c r="AR362" s="409">
        <v>0</v>
      </c>
      <c r="AS362" s="409">
        <v>0</v>
      </c>
      <c r="AT362" s="409">
        <v>0</v>
      </c>
      <c r="AU362" s="409">
        <v>0</v>
      </c>
      <c r="AV362" s="409">
        <v>0</v>
      </c>
      <c r="AW362" s="409">
        <v>0</v>
      </c>
      <c r="AX362" s="409">
        <v>0</v>
      </c>
      <c r="AY362" s="409">
        <v>0</v>
      </c>
      <c r="AZ362" s="409">
        <v>0</v>
      </c>
      <c r="BA362" s="409"/>
      <c r="BB362" s="409">
        <v>0</v>
      </c>
      <c r="BC362" s="409">
        <v>0</v>
      </c>
      <c r="BD362" s="409">
        <v>0</v>
      </c>
      <c r="BE362" s="409">
        <v>0</v>
      </c>
      <c r="BF362" s="409">
        <v>0</v>
      </c>
      <c r="BG362" s="409">
        <v>116.62427122234297</v>
      </c>
      <c r="BH362" s="409">
        <v>0</v>
      </c>
      <c r="BI362" s="409">
        <v>0</v>
      </c>
      <c r="BJ362" s="409">
        <v>0</v>
      </c>
      <c r="BK362" s="409">
        <v>0</v>
      </c>
      <c r="BL362" s="409">
        <v>0</v>
      </c>
      <c r="BM362" s="409"/>
      <c r="BN362" s="409"/>
      <c r="BO362" s="409"/>
      <c r="BP362" s="409"/>
      <c r="BQ362" s="409"/>
      <c r="BR362" s="409"/>
      <c r="BS362" s="409">
        <v>2049.9784512000001</v>
      </c>
      <c r="BT362" s="409"/>
      <c r="BU362" s="409"/>
      <c r="BV362" s="409">
        <v>976.26801986038618</v>
      </c>
      <c r="BW362" s="409"/>
      <c r="BX362" s="409"/>
      <c r="BY362" s="409"/>
      <c r="BZ362" s="409"/>
      <c r="CA362" s="409"/>
      <c r="CB362" s="409"/>
      <c r="CC362" s="409"/>
      <c r="CD362" s="409"/>
      <c r="CE362" s="409"/>
      <c r="CF362" s="409"/>
      <c r="CG362" s="409"/>
      <c r="CH362" s="409"/>
      <c r="CI362" s="409">
        <v>636.42399999999998</v>
      </c>
      <c r="CJ362" s="409">
        <v>-68.870462000000089</v>
      </c>
      <c r="CK362" s="409"/>
      <c r="CL362" s="409"/>
      <c r="CM362" s="409"/>
      <c r="CN362" s="409"/>
      <c r="CO362" s="409">
        <v>-309.33255999999994</v>
      </c>
      <c r="CP362" s="409">
        <v>29.880720000000029</v>
      </c>
      <c r="CQ362" s="409">
        <v>30</v>
      </c>
      <c r="CR362" s="409">
        <v>52.534342874331287</v>
      </c>
      <c r="CS362" s="409">
        <v>0</v>
      </c>
      <c r="CT362" s="409">
        <v>0</v>
      </c>
      <c r="CU362" s="409">
        <v>0</v>
      </c>
      <c r="CV362" s="409">
        <v>0</v>
      </c>
      <c r="CW362" s="409">
        <v>0</v>
      </c>
      <c r="CX362" s="409">
        <v>0</v>
      </c>
      <c r="CY362" s="409">
        <v>0</v>
      </c>
      <c r="CZ362" s="409">
        <v>15.517808518296533</v>
      </c>
      <c r="DA362" s="409">
        <v>0</v>
      </c>
      <c r="DB362" s="409">
        <v>0</v>
      </c>
      <c r="DC362" s="409">
        <v>39.380199965578868</v>
      </c>
      <c r="DD362" s="409">
        <v>0</v>
      </c>
      <c r="DE362" s="409">
        <v>0</v>
      </c>
      <c r="DF362" s="409">
        <v>0</v>
      </c>
      <c r="DG362" s="409">
        <v>5.3425469897872233</v>
      </c>
      <c r="DH362" s="409">
        <v>0</v>
      </c>
      <c r="DI362" s="409">
        <v>-0.64095992731166973</v>
      </c>
      <c r="DJ362" s="409"/>
      <c r="DK362" s="409">
        <v>0</v>
      </c>
      <c r="DL362" s="409">
        <v>0</v>
      </c>
      <c r="DM362" s="409">
        <v>0</v>
      </c>
      <c r="DN362" s="409">
        <v>0</v>
      </c>
      <c r="DO362" s="409">
        <v>-0.20125991189249248</v>
      </c>
      <c r="DP362" s="409">
        <v>-0.35718929152477763</v>
      </c>
      <c r="DQ362" s="409">
        <v>0</v>
      </c>
      <c r="DR362" s="409">
        <v>-6.5068034686024392</v>
      </c>
      <c r="DS362" s="409"/>
      <c r="DT362" s="409"/>
      <c r="DU362" s="409"/>
      <c r="DV362" s="409">
        <v>1448.2560694623933</v>
      </c>
      <c r="DW362" s="409">
        <v>0</v>
      </c>
      <c r="DX362" s="409">
        <v>0</v>
      </c>
      <c r="DY362" s="409">
        <v>-309.33255999999983</v>
      </c>
      <c r="DZ362" s="409">
        <v>29.880719999999997</v>
      </c>
      <c r="EA362" s="409">
        <v>0</v>
      </c>
      <c r="EB362" s="409">
        <v>0</v>
      </c>
      <c r="EC362" s="409">
        <v>-331.97434605178182</v>
      </c>
      <c r="ED362" s="409">
        <v>0</v>
      </c>
      <c r="EE362" s="409">
        <v>0</v>
      </c>
      <c r="EF362" s="409">
        <v>0</v>
      </c>
      <c r="EG362" s="409">
        <v>0</v>
      </c>
      <c r="EH362" s="409">
        <v>0</v>
      </c>
      <c r="EI362" s="409">
        <v>0</v>
      </c>
      <c r="EJ362" s="409">
        <v>0</v>
      </c>
      <c r="EK362" s="409">
        <v>0</v>
      </c>
      <c r="EL362" s="409">
        <v>0</v>
      </c>
      <c r="EM362" s="409">
        <v>0</v>
      </c>
      <c r="EN362" s="409">
        <v>0</v>
      </c>
      <c r="EO362" s="409">
        <v>0</v>
      </c>
      <c r="EP362" s="409">
        <v>0</v>
      </c>
      <c r="EQ362" s="409">
        <v>0</v>
      </c>
      <c r="ER362" s="409">
        <v>0</v>
      </c>
      <c r="ES362" s="409">
        <v>0</v>
      </c>
      <c r="ET362" s="409">
        <v>0</v>
      </c>
      <c r="EU362" s="409">
        <v>0</v>
      </c>
      <c r="EV362" s="409">
        <v>254</v>
      </c>
      <c r="EW362" s="409">
        <v>0</v>
      </c>
      <c r="EX362" s="409">
        <v>0</v>
      </c>
      <c r="EY362" s="409">
        <v>0</v>
      </c>
      <c r="EZ362" s="409"/>
      <c r="FA362" s="409">
        <v>0</v>
      </c>
      <c r="FB362" s="409"/>
      <c r="FC362" s="409"/>
      <c r="FD362" s="409"/>
      <c r="FE362" s="409"/>
      <c r="FF362" s="409">
        <v>0</v>
      </c>
      <c r="FG362" s="409">
        <v>0</v>
      </c>
      <c r="FH362" s="409">
        <v>0</v>
      </c>
      <c r="FI362" s="409">
        <v>0</v>
      </c>
    </row>
    <row r="363" spans="1:165">
      <c r="A363" s="1674"/>
      <c r="B363" s="1674"/>
      <c r="C363" s="1674"/>
      <c r="D363" s="1674"/>
      <c r="E363" s="1674"/>
      <c r="F363" s="1674"/>
      <c r="G363" s="1674"/>
      <c r="H363" s="1674"/>
      <c r="I363" s="1674"/>
      <c r="J363" s="1674"/>
      <c r="K363" s="1674"/>
      <c r="L363" s="1674"/>
      <c r="M363" s="1674"/>
      <c r="N363" s="1674"/>
      <c r="O363" s="1674"/>
      <c r="P363" s="1674"/>
      <c r="Q363" s="1674"/>
      <c r="R363" s="1674"/>
      <c r="S363" s="1674"/>
      <c r="T363" s="1674"/>
      <c r="U363" s="1674"/>
      <c r="V363" s="1674"/>
      <c r="W363" s="1674"/>
      <c r="X363" s="1674"/>
      <c r="Y363" s="1674"/>
      <c r="Z363" s="1674"/>
      <c r="AA363" s="1674"/>
      <c r="AB363" s="1674"/>
      <c r="AC363" s="1674"/>
      <c r="AD363" s="1674"/>
      <c r="AE363" s="1674"/>
      <c r="AF363" s="1674"/>
      <c r="AG363" s="1674"/>
      <c r="AH363" s="1674"/>
      <c r="AI363" s="1674"/>
      <c r="AJ363" s="1674"/>
      <c r="AK363" s="1674"/>
      <c r="AL363" s="1674"/>
      <c r="AM363" s="1674"/>
      <c r="AN363" s="1674"/>
      <c r="AO363" s="1674"/>
      <c r="AP363" s="1674"/>
      <c r="AQ363" s="1674"/>
      <c r="AR363" s="1674"/>
      <c r="AS363" s="1674"/>
      <c r="AT363" s="1674"/>
      <c r="AU363" s="1674"/>
      <c r="AV363" s="1674"/>
      <c r="AW363" s="1674"/>
      <c r="AX363" s="1674"/>
      <c r="AY363" s="1674"/>
      <c r="AZ363" s="1674"/>
      <c r="BA363" s="1674"/>
      <c r="BB363" s="1674"/>
      <c r="BC363" s="1674"/>
      <c r="BD363" s="1674"/>
      <c r="BE363" s="1674"/>
      <c r="BF363" s="1674"/>
      <c r="BG363" s="1674"/>
      <c r="BH363" s="1674"/>
      <c r="BI363" s="1674"/>
      <c r="BJ363" s="1674"/>
      <c r="BK363" s="1674"/>
      <c r="BL363" s="1674"/>
      <c r="BM363" s="1674"/>
      <c r="BN363" s="1674"/>
      <c r="BO363" s="1674"/>
      <c r="BP363" s="1674"/>
      <c r="BQ363" s="1674"/>
      <c r="BR363" s="1674"/>
      <c r="BS363" s="1674"/>
      <c r="BT363" s="1674"/>
      <c r="BU363" s="1674"/>
      <c r="BV363" s="1674"/>
      <c r="BW363" s="1674"/>
      <c r="BX363" s="1674"/>
      <c r="BY363" s="1674"/>
      <c r="BZ363" s="1674"/>
      <c r="CA363" s="1674"/>
      <c r="CB363" s="1674"/>
      <c r="CC363" s="1674"/>
      <c r="CD363" s="1674"/>
      <c r="CE363" s="1674"/>
      <c r="CF363" s="1674"/>
      <c r="CG363" s="1674"/>
      <c r="CH363" s="1674"/>
      <c r="CI363" s="1674"/>
      <c r="CJ363" s="1674"/>
      <c r="CK363" s="1674"/>
      <c r="CL363" s="1674"/>
      <c r="CM363" s="1674"/>
      <c r="CN363" s="1674"/>
      <c r="CO363" s="1674"/>
      <c r="CP363" s="1674"/>
      <c r="CQ363" s="1674"/>
      <c r="CR363" s="1674"/>
      <c r="CS363" s="1674"/>
      <c r="CT363" s="1674"/>
      <c r="CU363" s="1674"/>
      <c r="CV363" s="1674"/>
      <c r="CW363" s="1674"/>
      <c r="CX363" s="1674"/>
      <c r="CY363" s="1674"/>
      <c r="CZ363" s="1674"/>
      <c r="DA363" s="1674"/>
      <c r="DB363" s="1674"/>
      <c r="DC363" s="1674"/>
      <c r="DD363" s="1674"/>
      <c r="DE363" s="1674"/>
      <c r="DF363" s="1674"/>
      <c r="DG363" s="1674"/>
      <c r="DH363" s="1674"/>
      <c r="DI363" s="1674"/>
      <c r="DJ363" s="1674"/>
      <c r="DK363" s="1674"/>
      <c r="DL363" s="1674"/>
      <c r="DM363" s="1674"/>
      <c r="DN363" s="1674"/>
      <c r="DO363" s="1674"/>
      <c r="DP363" s="1674"/>
      <c r="DQ363" s="1674"/>
      <c r="DR363" s="1674"/>
      <c r="DS363" s="1674"/>
      <c r="DT363" s="1674"/>
      <c r="DU363" s="1674"/>
      <c r="DV363" s="1674"/>
      <c r="DW363" s="1674"/>
      <c r="DX363" s="1674"/>
      <c r="DY363" s="1674"/>
      <c r="DZ363" s="1674"/>
      <c r="EA363" s="1674"/>
      <c r="EB363" s="1674"/>
      <c r="EC363" s="1674"/>
      <c r="ED363" s="1674"/>
      <c r="EE363" s="1674"/>
      <c r="EF363" s="1674"/>
      <c r="EG363" s="1674"/>
      <c r="EH363" s="1674"/>
      <c r="EI363" s="1674"/>
      <c r="EJ363" s="1674"/>
      <c r="EK363" s="1674"/>
      <c r="EL363" s="1674"/>
      <c r="EM363" s="1674"/>
      <c r="EN363" s="1674"/>
      <c r="EO363" s="1674"/>
      <c r="EP363" s="1674"/>
      <c r="EQ363" s="1674"/>
      <c r="ER363" s="1674"/>
      <c r="ES363" s="1674"/>
      <c r="ET363" s="1674"/>
      <c r="EU363" s="1674"/>
      <c r="EV363" s="1674"/>
      <c r="EW363" s="1674"/>
      <c r="EX363" s="1674"/>
      <c r="EY363" s="1674"/>
      <c r="EZ363" s="1674"/>
      <c r="FA363" s="1674"/>
      <c r="FB363" s="1674"/>
      <c r="FC363" s="1674"/>
      <c r="FD363" s="1674"/>
      <c r="FE363" s="1674"/>
      <c r="FF363" s="1674"/>
      <c r="FG363" s="1674"/>
      <c r="FH363" s="1674"/>
      <c r="FI363" s="1674"/>
    </row>
    <row r="364" spans="1:165">
      <c r="K364" s="266"/>
      <c r="L364" s="266"/>
      <c r="M364" s="266"/>
      <c r="N364" s="266"/>
      <c r="O364" s="266"/>
      <c r="P364" s="266"/>
      <c r="Q364" s="266"/>
      <c r="BR364" s="266"/>
      <c r="BS364" s="266"/>
      <c r="BT364" s="266"/>
      <c r="BU364" s="266"/>
      <c r="BV364" s="266"/>
      <c r="CJ364" s="266"/>
      <c r="CO364" s="266"/>
      <c r="CP364" s="266"/>
      <c r="CQ364" s="266"/>
      <c r="CR364" s="266"/>
      <c r="CS364" s="266"/>
      <c r="CT364" s="266"/>
      <c r="CU364" s="266"/>
      <c r="CV364" s="266"/>
      <c r="CW364" s="266"/>
      <c r="CX364" s="266"/>
      <c r="CY364" s="266"/>
      <c r="CZ364" s="266"/>
      <c r="DA364" s="266"/>
      <c r="DB364" s="266"/>
      <c r="DC364" s="266"/>
      <c r="DD364" s="266"/>
      <c r="DE364" s="266"/>
      <c r="DF364" s="266"/>
      <c r="DG364" s="266"/>
      <c r="DH364" s="266"/>
      <c r="DI364" s="266"/>
      <c r="DJ364" s="266"/>
      <c r="DK364" s="266"/>
      <c r="DL364" s="266"/>
      <c r="DM364" s="266"/>
      <c r="DN364" s="266"/>
      <c r="DO364" s="266"/>
      <c r="DP364" s="266"/>
      <c r="DQ364" s="266"/>
      <c r="DR364" s="266"/>
      <c r="DS364" s="266"/>
    </row>
    <row r="365" spans="1:165">
      <c r="K365" s="266"/>
      <c r="L365" s="266"/>
      <c r="M365" s="266"/>
      <c r="N365" s="266"/>
      <c r="O365" s="266"/>
      <c r="P365" s="266"/>
      <c r="Q365" s="266"/>
      <c r="BR365" s="266"/>
      <c r="BS365" s="266"/>
      <c r="BT365" s="266"/>
      <c r="BU365" s="266"/>
      <c r="BV365" s="266"/>
      <c r="CJ365" s="266"/>
      <c r="CO365" s="266"/>
      <c r="CP365" s="266"/>
      <c r="CQ365" s="266"/>
      <c r="CR365" s="266"/>
      <c r="CS365" s="266"/>
      <c r="CT365" s="266"/>
      <c r="CU365" s="266"/>
      <c r="CV365" s="266"/>
      <c r="CW365" s="266"/>
      <c r="CX365" s="266"/>
      <c r="CY365" s="266"/>
      <c r="CZ365" s="266"/>
      <c r="DA365" s="266"/>
      <c r="DB365" s="266"/>
      <c r="DC365" s="266"/>
      <c r="DD365" s="266"/>
      <c r="DE365" s="266"/>
      <c r="DF365" s="266"/>
      <c r="DG365" s="266"/>
      <c r="DH365" s="266"/>
      <c r="DI365" s="266"/>
      <c r="DJ365" s="266"/>
      <c r="DK365" s="266"/>
      <c r="DL365" s="266"/>
      <c r="DM365" s="266"/>
      <c r="DN365" s="266"/>
      <c r="DO365" s="266"/>
      <c r="DP365" s="266"/>
      <c r="DQ365" s="266"/>
      <c r="DR365" s="266"/>
      <c r="DS365" s="266"/>
    </row>
    <row r="366" spans="1:165">
      <c r="K366" s="266"/>
      <c r="L366" s="266"/>
      <c r="M366" s="266"/>
      <c r="N366" s="266"/>
      <c r="O366" s="266"/>
      <c r="P366" s="266"/>
      <c r="Q366" s="266"/>
      <c r="BR366" s="266"/>
      <c r="BS366" s="266"/>
      <c r="BT366" s="266"/>
      <c r="BU366" s="266"/>
      <c r="BV366" s="266"/>
      <c r="CJ366" s="266"/>
      <c r="CO366" s="266"/>
      <c r="CP366" s="266"/>
      <c r="CQ366" s="266"/>
      <c r="CR366" s="266"/>
      <c r="CS366" s="266"/>
      <c r="CT366" s="266"/>
      <c r="CU366" s="266"/>
      <c r="CV366" s="266"/>
      <c r="CW366" s="266"/>
      <c r="CX366" s="266"/>
      <c r="CY366" s="266"/>
      <c r="CZ366" s="266"/>
      <c r="DA366" s="266"/>
      <c r="DB366" s="266"/>
      <c r="DC366" s="266"/>
      <c r="DD366" s="266"/>
      <c r="DE366" s="266"/>
      <c r="DF366" s="266"/>
      <c r="DG366" s="266"/>
      <c r="DH366" s="266"/>
      <c r="DI366" s="266"/>
      <c r="DJ366" s="266"/>
      <c r="DK366" s="266"/>
      <c r="DL366" s="266"/>
      <c r="DM366" s="266"/>
      <c r="DN366" s="266"/>
      <c r="DO366" s="266"/>
      <c r="DP366" s="266"/>
      <c r="DQ366" s="266"/>
      <c r="DR366" s="266"/>
      <c r="DS366" s="266"/>
    </row>
    <row r="367" spans="1:165">
      <c r="K367" s="266"/>
      <c r="L367" s="266"/>
      <c r="M367" s="266"/>
      <c r="N367" s="266"/>
      <c r="O367" s="266"/>
      <c r="P367" s="266"/>
      <c r="Q367" s="266"/>
      <c r="BR367" s="266"/>
      <c r="BS367" s="266"/>
      <c r="BT367" s="266"/>
      <c r="BU367" s="266"/>
      <c r="BV367" s="266"/>
      <c r="CJ367" s="266"/>
      <c r="CO367" s="266"/>
      <c r="CP367" s="266"/>
      <c r="CQ367" s="266"/>
      <c r="CR367" s="266"/>
      <c r="CS367" s="266"/>
      <c r="CT367" s="266"/>
      <c r="CU367" s="266"/>
      <c r="CV367" s="266"/>
      <c r="CW367" s="266"/>
      <c r="CX367" s="266"/>
      <c r="CY367" s="266"/>
      <c r="CZ367" s="266"/>
      <c r="DA367" s="266"/>
      <c r="DB367" s="266"/>
      <c r="DC367" s="266"/>
      <c r="DD367" s="266"/>
      <c r="DE367" s="266"/>
      <c r="DF367" s="266"/>
      <c r="DG367" s="266"/>
      <c r="DH367" s="266"/>
      <c r="DI367" s="266"/>
      <c r="DJ367" s="266"/>
      <c r="DK367" s="266"/>
      <c r="DL367" s="266"/>
      <c r="DM367" s="266"/>
      <c r="DN367" s="266"/>
      <c r="DO367" s="266"/>
      <c r="DP367" s="266"/>
      <c r="DQ367" s="266"/>
      <c r="DR367" s="266"/>
      <c r="DS367" s="266"/>
    </row>
    <row r="368" spans="1:165">
      <c r="K368" s="266"/>
      <c r="L368" s="266"/>
      <c r="M368" s="266"/>
      <c r="N368" s="266"/>
      <c r="O368" s="266"/>
      <c r="P368" s="266"/>
      <c r="Q368" s="266"/>
      <c r="BR368" s="266"/>
      <c r="BS368" s="266"/>
      <c r="BT368" s="266"/>
      <c r="BU368" s="266"/>
      <c r="BV368" s="266"/>
      <c r="CJ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/>
      <c r="DK368" s="266"/>
      <c r="DL368" s="266"/>
      <c r="DM368" s="266"/>
      <c r="DN368" s="266"/>
      <c r="DO368" s="266"/>
      <c r="DP368" s="266"/>
      <c r="DQ368" s="266"/>
      <c r="DR368" s="266"/>
      <c r="DS368" s="266"/>
    </row>
    <row r="369" s="266" customFormat="1"/>
    <row r="370" s="266" customFormat="1"/>
    <row r="371" s="266" customFormat="1"/>
    <row r="372" s="266" customFormat="1"/>
    <row r="373" s="266" customFormat="1"/>
    <row r="374" s="266" customFormat="1"/>
    <row r="375" s="266" customFormat="1"/>
    <row r="376" s="266" customFormat="1"/>
    <row r="377" s="266" customFormat="1"/>
    <row r="378" s="266" customFormat="1"/>
    <row r="379" s="266" customFormat="1"/>
    <row r="380" s="266" customFormat="1"/>
    <row r="381" s="266" customFormat="1"/>
    <row r="382" s="266" customFormat="1"/>
    <row r="383" s="266" customFormat="1"/>
    <row r="384" s="266" customFormat="1"/>
    <row r="385" s="266" customFormat="1"/>
    <row r="386" s="266" customFormat="1"/>
    <row r="387" s="266" customFormat="1"/>
    <row r="388" s="266" customFormat="1"/>
    <row r="389" s="266" customFormat="1"/>
    <row r="390" s="266" customFormat="1"/>
    <row r="391" s="266" customFormat="1"/>
    <row r="392" s="266" customFormat="1"/>
    <row r="393" s="266" customFormat="1"/>
    <row r="394" s="266" customFormat="1"/>
    <row r="395" s="266" customFormat="1"/>
    <row r="396" s="266" customFormat="1"/>
    <row r="397" s="266" customFormat="1"/>
    <row r="398" s="266" customFormat="1"/>
    <row r="399" s="266" customFormat="1"/>
    <row r="400" s="266" customFormat="1"/>
    <row r="401" s="266" customFormat="1"/>
    <row r="402" s="266" customFormat="1"/>
    <row r="403" s="266" customFormat="1"/>
    <row r="404" s="266" customFormat="1"/>
    <row r="405" s="266" customFormat="1"/>
    <row r="406" s="266" customFormat="1"/>
    <row r="407" s="266" customFormat="1"/>
    <row r="408" s="266" customFormat="1"/>
    <row r="409" s="266" customFormat="1"/>
    <row r="410" s="266" customFormat="1"/>
    <row r="411" s="266" customFormat="1"/>
    <row r="412" s="266" customFormat="1"/>
    <row r="413" s="266" customFormat="1"/>
    <row r="414" s="266" customFormat="1"/>
    <row r="415" s="266" customFormat="1"/>
    <row r="416" s="266" customFormat="1"/>
    <row r="417" s="266" customFormat="1"/>
    <row r="418" s="266" customFormat="1"/>
    <row r="419" s="266" customFormat="1"/>
    <row r="420" s="266" customFormat="1"/>
    <row r="421" s="266" customFormat="1"/>
    <row r="422" s="266" customFormat="1"/>
    <row r="423" s="266" customFormat="1"/>
    <row r="424" s="266" customFormat="1"/>
    <row r="425" s="266" customFormat="1"/>
    <row r="426" s="266" customFormat="1"/>
    <row r="427" s="266" customFormat="1"/>
    <row r="428" s="266" customFormat="1"/>
    <row r="429" s="266" customFormat="1"/>
    <row r="430" s="266" customFormat="1"/>
    <row r="431" s="266" customFormat="1"/>
    <row r="432" s="266" customFormat="1"/>
    <row r="433" s="266" customFormat="1"/>
    <row r="434" s="266" customFormat="1"/>
    <row r="435" s="266" customFormat="1"/>
    <row r="436" s="266" customFormat="1"/>
    <row r="437" s="266" customFormat="1"/>
    <row r="438" s="266" customFormat="1"/>
    <row r="439" s="266" customFormat="1"/>
    <row r="440" s="266" customFormat="1"/>
    <row r="441" s="266" customFormat="1"/>
    <row r="442" s="266" customFormat="1"/>
    <row r="443" s="266" customFormat="1"/>
    <row r="444" s="266" customFormat="1"/>
    <row r="445" s="266" customFormat="1"/>
    <row r="446" s="266" customFormat="1"/>
    <row r="447" s="266" customFormat="1"/>
    <row r="448" s="266" customFormat="1"/>
    <row r="449" s="266" customFormat="1"/>
    <row r="450" s="266" customFormat="1"/>
    <row r="451" s="266" customFormat="1"/>
    <row r="452" s="266" customFormat="1"/>
    <row r="453" s="266" customFormat="1"/>
    <row r="454" s="266" customFormat="1"/>
    <row r="455" s="266" customFormat="1"/>
    <row r="456" s="266" customFormat="1"/>
    <row r="457" s="266" customFormat="1"/>
    <row r="458" s="266" customFormat="1"/>
    <row r="459" s="266" customFormat="1"/>
    <row r="460" s="266" customFormat="1"/>
    <row r="461" s="266" customFormat="1"/>
    <row r="462" s="266" customFormat="1"/>
    <row r="463" s="266" customFormat="1"/>
    <row r="464" s="266" customFormat="1"/>
    <row r="465" s="266" customFormat="1"/>
    <row r="466" s="266" customFormat="1"/>
    <row r="467" s="266" customFormat="1"/>
    <row r="468" s="266" customFormat="1"/>
    <row r="469" s="266" customFormat="1"/>
    <row r="470" s="266" customFormat="1"/>
    <row r="471" s="266" customFormat="1"/>
    <row r="472" s="266" customFormat="1"/>
    <row r="473" s="266" customFormat="1"/>
    <row r="474" s="266" customFormat="1"/>
    <row r="475" s="266" customFormat="1"/>
    <row r="476" s="266" customFormat="1"/>
    <row r="477" s="266" customFormat="1"/>
    <row r="478" s="266" customFormat="1"/>
    <row r="479" s="266" customFormat="1"/>
    <row r="480" s="266" customFormat="1"/>
    <row r="481" s="266" customFormat="1"/>
    <row r="482" s="266" customFormat="1"/>
    <row r="483" s="266" customFormat="1"/>
    <row r="484" s="266" customFormat="1"/>
    <row r="485" s="266" customFormat="1"/>
    <row r="486" s="266" customFormat="1"/>
    <row r="487" s="266" customFormat="1"/>
    <row r="488" s="266" customFormat="1"/>
    <row r="489" s="266" customFormat="1"/>
    <row r="490" s="266" customFormat="1"/>
    <row r="491" s="266" customFormat="1"/>
    <row r="492" s="266" customFormat="1"/>
    <row r="493" s="266" customFormat="1"/>
    <row r="494" s="266" customFormat="1"/>
    <row r="495" s="266" customFormat="1"/>
    <row r="496" s="266" customFormat="1"/>
    <row r="497" s="266" customFormat="1"/>
    <row r="498" s="266" customFormat="1"/>
    <row r="499" s="266" customFormat="1"/>
    <row r="500" s="266" customFormat="1"/>
    <row r="501" s="266" customFormat="1"/>
    <row r="502" s="266" customFormat="1"/>
    <row r="503" s="266" customFormat="1"/>
    <row r="504" s="266" customFormat="1"/>
    <row r="505" s="266" customFormat="1"/>
    <row r="506" s="266" customFormat="1"/>
    <row r="507" s="266" customFormat="1"/>
    <row r="508" s="266" customFormat="1"/>
    <row r="509" s="266" customFormat="1"/>
    <row r="510" s="266" customFormat="1"/>
    <row r="511" s="266" customFormat="1"/>
    <row r="512" s="266" customFormat="1"/>
    <row r="513" s="266" customFormat="1"/>
    <row r="514" s="266" customFormat="1"/>
    <row r="515" s="266" customFormat="1"/>
    <row r="516" s="266" customFormat="1"/>
    <row r="517" s="266" customFormat="1"/>
    <row r="518" s="266" customFormat="1"/>
    <row r="519" s="266" customFormat="1"/>
    <row r="520" s="266" customFormat="1"/>
    <row r="521" s="266" customFormat="1"/>
    <row r="522" s="266" customFormat="1"/>
    <row r="523" s="266" customFormat="1"/>
    <row r="524" s="266" customFormat="1"/>
    <row r="525" s="266" customFormat="1"/>
    <row r="526" s="266" customFormat="1"/>
    <row r="527" s="266" customFormat="1"/>
    <row r="528" s="266" customFormat="1"/>
    <row r="529" s="266" customFormat="1"/>
    <row r="530" s="266" customFormat="1"/>
    <row r="531" s="266" customFormat="1"/>
    <row r="532" s="266" customFormat="1"/>
    <row r="533" s="266" customFormat="1"/>
    <row r="534" s="266" customFormat="1"/>
    <row r="535" s="266" customFormat="1"/>
    <row r="536" s="266" customFormat="1"/>
    <row r="537" s="266" customFormat="1"/>
    <row r="538" s="266" customFormat="1"/>
    <row r="539" s="266" customFormat="1"/>
    <row r="540" s="266" customFormat="1"/>
    <row r="541" s="266" customFormat="1"/>
    <row r="542" s="266" customFormat="1"/>
    <row r="543" s="266" customFormat="1"/>
    <row r="544" s="266" customFormat="1"/>
    <row r="545" s="266" customFormat="1"/>
    <row r="546" s="266" customFormat="1"/>
    <row r="547" s="266" customFormat="1"/>
    <row r="548" s="266" customFormat="1"/>
    <row r="549" s="266" customFormat="1"/>
    <row r="550" s="266" customFormat="1"/>
    <row r="551" s="266" customFormat="1"/>
    <row r="552" s="266" customFormat="1"/>
    <row r="553" s="266" customFormat="1"/>
    <row r="554" s="266" customFormat="1"/>
    <row r="555" s="266" customFormat="1"/>
    <row r="556" s="266" customFormat="1"/>
    <row r="557" s="266" customFormat="1"/>
    <row r="558" s="266" customFormat="1"/>
    <row r="559" s="266" customFormat="1"/>
    <row r="560" s="266" customFormat="1"/>
    <row r="561" s="266" customFormat="1"/>
    <row r="562" s="266" customFormat="1"/>
    <row r="563" s="266" customFormat="1"/>
    <row r="564" s="266" customFormat="1"/>
    <row r="565" s="266" customFormat="1"/>
    <row r="566" s="266" customFormat="1"/>
    <row r="567" s="266" customFormat="1"/>
    <row r="568" s="266" customFormat="1"/>
    <row r="569" s="266" customFormat="1"/>
    <row r="570" s="266" customFormat="1"/>
    <row r="571" s="266" customFormat="1"/>
    <row r="572" s="266" customFormat="1"/>
    <row r="573" s="266" customFormat="1"/>
    <row r="574" s="266" customFormat="1"/>
    <row r="575" s="266" customFormat="1"/>
    <row r="576" s="266" customFormat="1"/>
    <row r="577" s="266" customFormat="1"/>
    <row r="578" s="266" customFormat="1"/>
    <row r="579" s="266" customFormat="1"/>
    <row r="580" s="266" customFormat="1"/>
    <row r="581" s="266" customFormat="1"/>
    <row r="582" s="266" customFormat="1"/>
    <row r="583" s="266" customFormat="1"/>
    <row r="584" s="266" customFormat="1"/>
    <row r="585" s="266" customFormat="1"/>
    <row r="586" s="266" customFormat="1"/>
    <row r="587" s="266" customFormat="1"/>
    <row r="588" s="266" customFormat="1"/>
    <row r="589" s="266" customFormat="1"/>
    <row r="590" s="266" customFormat="1"/>
    <row r="591" s="266" customFormat="1"/>
    <row r="592" s="266" customFormat="1"/>
    <row r="593" s="266" customFormat="1"/>
    <row r="594" s="266" customFormat="1"/>
    <row r="595" s="266" customFormat="1"/>
    <row r="596" s="266" customFormat="1"/>
    <row r="597" s="266" customFormat="1"/>
    <row r="598" s="266" customFormat="1"/>
    <row r="599" s="266" customFormat="1"/>
    <row r="600" s="266" customFormat="1"/>
    <row r="601" s="266" customFormat="1"/>
    <row r="602" s="266" customFormat="1"/>
    <row r="603" s="266" customFormat="1"/>
    <row r="604" s="266" customFormat="1"/>
    <row r="605" s="266" customFormat="1"/>
    <row r="606" s="266" customFormat="1"/>
    <row r="607" s="266" customFormat="1"/>
    <row r="608" s="266" customFormat="1"/>
    <row r="609" s="266" customFormat="1"/>
    <row r="610" s="266" customFormat="1"/>
    <row r="611" s="266" customFormat="1"/>
    <row r="612" s="266" customFormat="1"/>
    <row r="613" s="266" customFormat="1"/>
    <row r="614" s="266" customFormat="1"/>
    <row r="615" s="266" customFormat="1"/>
    <row r="616" s="266" customFormat="1"/>
    <row r="617" s="266" customFormat="1"/>
    <row r="618" s="266" customFormat="1"/>
    <row r="619" s="266" customFormat="1"/>
    <row r="620" s="266" customFormat="1"/>
    <row r="621" s="266" customFormat="1"/>
    <row r="622" s="266" customFormat="1"/>
    <row r="623" s="266" customFormat="1"/>
    <row r="624" s="266" customFormat="1"/>
    <row r="625" s="266" customFormat="1"/>
    <row r="626" s="266" customFormat="1"/>
    <row r="627" s="266" customFormat="1"/>
    <row r="628" s="266" customFormat="1"/>
    <row r="629" s="266" customFormat="1"/>
    <row r="630" s="266" customFormat="1"/>
    <row r="631" s="266" customFormat="1"/>
    <row r="632" s="266" customFormat="1"/>
    <row r="633" s="266" customFormat="1"/>
    <row r="634" s="266" customFormat="1"/>
    <row r="635" s="266" customFormat="1"/>
    <row r="636" s="266" customFormat="1"/>
    <row r="637" s="266" customFormat="1"/>
    <row r="638" s="266" customFormat="1"/>
    <row r="639" s="266" customFormat="1"/>
    <row r="640" s="266" customFormat="1"/>
    <row r="641" s="266" customFormat="1"/>
    <row r="642" s="266" customFormat="1"/>
    <row r="643" s="266" customFormat="1"/>
    <row r="644" s="266" customFormat="1"/>
    <row r="645" s="266" customFormat="1"/>
    <row r="646" s="266" customFormat="1"/>
    <row r="647" s="266" customFormat="1"/>
    <row r="648" s="266" customFormat="1"/>
    <row r="649" s="266" customFormat="1"/>
    <row r="650" s="266" customFormat="1"/>
    <row r="651" s="266" customFormat="1"/>
    <row r="652" s="266" customFormat="1"/>
    <row r="653" s="266" customFormat="1"/>
    <row r="654" s="266" customFormat="1"/>
    <row r="655" s="266" customFormat="1"/>
    <row r="656" s="266" customFormat="1"/>
    <row r="657" s="266" customFormat="1"/>
    <row r="658" s="266" customFormat="1"/>
    <row r="659" s="266" customFormat="1"/>
    <row r="660" s="266" customFormat="1"/>
    <row r="661" s="266" customFormat="1"/>
    <row r="662" s="266" customFormat="1"/>
    <row r="663" s="266" customFormat="1"/>
    <row r="664" s="266" customFormat="1"/>
    <row r="665" s="266" customFormat="1"/>
    <row r="666" s="266" customFormat="1"/>
    <row r="667" s="266" customFormat="1"/>
    <row r="668" s="266" customFormat="1"/>
    <row r="669" s="266" customFormat="1"/>
    <row r="670" s="266" customFormat="1"/>
    <row r="671" s="266" customFormat="1"/>
    <row r="672" s="266" customFormat="1"/>
    <row r="673" s="266" customFormat="1"/>
    <row r="674" s="266" customFormat="1"/>
    <row r="675" s="266" customFormat="1"/>
    <row r="676" s="266" customFormat="1"/>
    <row r="677" s="266" customFormat="1"/>
    <row r="678" s="266" customFormat="1"/>
    <row r="679" s="266" customFormat="1"/>
    <row r="680" s="266" customFormat="1"/>
    <row r="681" s="266" customFormat="1"/>
    <row r="682" s="266" customFormat="1"/>
    <row r="683" s="266" customFormat="1"/>
    <row r="684" s="266" customFormat="1"/>
    <row r="685" s="266" customFormat="1"/>
    <row r="686" s="266" customFormat="1"/>
    <row r="687" s="266" customFormat="1"/>
    <row r="688" s="266" customFormat="1"/>
    <row r="689" s="266" customFormat="1"/>
    <row r="690" s="266" customFormat="1"/>
    <row r="691" s="266" customFormat="1"/>
    <row r="692" s="266" customFormat="1"/>
    <row r="693" s="266" customFormat="1"/>
    <row r="694" s="266" customFormat="1"/>
    <row r="695" s="266" customFormat="1"/>
    <row r="696" s="266" customFormat="1"/>
    <row r="697" s="266" customFormat="1"/>
    <row r="698" s="266" customFormat="1"/>
    <row r="699" s="266" customFormat="1"/>
    <row r="700" s="266" customFormat="1"/>
    <row r="701" s="266" customFormat="1"/>
    <row r="702" s="266" customFormat="1"/>
    <row r="703" s="266" customFormat="1"/>
    <row r="704" s="266" customFormat="1"/>
    <row r="705" s="266" customFormat="1"/>
    <row r="706" s="266" customFormat="1"/>
    <row r="707" s="266" customFormat="1"/>
    <row r="708" s="266" customFormat="1"/>
    <row r="709" s="266" customFormat="1"/>
    <row r="710" s="266" customFormat="1"/>
    <row r="711" s="266" customFormat="1"/>
    <row r="712" s="266" customFormat="1"/>
    <row r="713" s="266" customFormat="1"/>
    <row r="714" s="266" customFormat="1"/>
    <row r="715" s="266" customFormat="1"/>
    <row r="716" s="266" customFormat="1"/>
    <row r="717" s="266" customFormat="1"/>
    <row r="718" s="266" customFormat="1"/>
    <row r="719" s="266" customFormat="1"/>
    <row r="720" s="266" customFormat="1"/>
    <row r="721" s="266" customFormat="1"/>
    <row r="722" s="266" customFormat="1"/>
    <row r="723" s="266" customFormat="1"/>
    <row r="724" s="266" customFormat="1"/>
    <row r="725" s="266" customFormat="1"/>
    <row r="726" s="266" customFormat="1"/>
    <row r="727" s="266" customFormat="1"/>
    <row r="728" s="266" customFormat="1"/>
    <row r="729" s="266" customFormat="1"/>
    <row r="730" s="266" customFormat="1"/>
    <row r="731" s="266" customFormat="1"/>
    <row r="732" s="266" customFormat="1"/>
    <row r="733" s="266" customFormat="1"/>
    <row r="734" s="266" customFormat="1"/>
    <row r="735" s="266" customFormat="1"/>
    <row r="736" s="266" customFormat="1"/>
    <row r="737" s="266" customFormat="1"/>
    <row r="738" s="266" customFormat="1"/>
    <row r="739" s="266" customFormat="1"/>
    <row r="740" s="266" customFormat="1"/>
    <row r="741" s="266" customFormat="1"/>
    <row r="742" s="266" customFormat="1"/>
    <row r="743" s="266" customFormat="1"/>
    <row r="744" s="266" customFormat="1"/>
    <row r="745" s="266" customFormat="1"/>
    <row r="746" s="266" customFormat="1"/>
    <row r="747" s="266" customFormat="1"/>
    <row r="748" s="266" customFormat="1"/>
    <row r="749" s="266" customFormat="1"/>
    <row r="750" s="266" customFormat="1"/>
    <row r="751" s="266" customFormat="1"/>
    <row r="752" s="266" customFormat="1"/>
    <row r="753" s="266" customFormat="1"/>
    <row r="754" s="266" customFormat="1"/>
    <row r="755" s="266" customFormat="1"/>
    <row r="756" s="266" customFormat="1"/>
    <row r="757" s="266" customFormat="1"/>
    <row r="758" s="266" customFormat="1"/>
    <row r="759" s="266" customFormat="1"/>
    <row r="760" s="266" customFormat="1"/>
    <row r="761" s="266" customFormat="1"/>
    <row r="762" s="266" customFormat="1"/>
    <row r="763" s="266" customFormat="1"/>
    <row r="764" s="266" customFormat="1"/>
    <row r="765" s="266" customFormat="1"/>
    <row r="766" s="266" customFormat="1"/>
    <row r="767" s="266" customFormat="1"/>
    <row r="768" s="266" customFormat="1"/>
    <row r="769" s="266" customFormat="1"/>
    <row r="770" s="266" customFormat="1"/>
    <row r="771" s="266" customFormat="1"/>
    <row r="772" s="266" customFormat="1"/>
    <row r="773" s="266" customFormat="1"/>
    <row r="774" s="266" customFormat="1"/>
    <row r="775" s="266" customFormat="1"/>
    <row r="776" s="266" customFormat="1"/>
    <row r="777" s="266" customFormat="1"/>
    <row r="778" s="266" customFormat="1"/>
    <row r="779" s="266" customFormat="1"/>
    <row r="780" s="266" customFormat="1"/>
    <row r="781" s="266" customFormat="1"/>
    <row r="782" s="266" customFormat="1"/>
    <row r="783" s="266" customFormat="1"/>
    <row r="784" s="266" customFormat="1"/>
    <row r="785" s="266" customFormat="1"/>
    <row r="786" s="266" customFormat="1"/>
    <row r="787" s="266" customFormat="1"/>
    <row r="788" s="266" customFormat="1"/>
    <row r="789" s="266" customFormat="1"/>
    <row r="790" s="266" customFormat="1"/>
    <row r="791" s="266" customFormat="1"/>
    <row r="792" s="266" customFormat="1"/>
    <row r="793" s="266" customFormat="1"/>
    <row r="794" s="266" customFormat="1"/>
    <row r="795" s="266" customFormat="1"/>
    <row r="796" s="266" customFormat="1"/>
    <row r="797" s="266" customFormat="1"/>
    <row r="798" s="266" customFormat="1"/>
    <row r="799" s="266" customFormat="1"/>
    <row r="800" s="266" customFormat="1"/>
    <row r="801" s="266" customFormat="1"/>
    <row r="802" s="266" customFormat="1"/>
    <row r="803" s="266" customFormat="1"/>
    <row r="804" s="266" customFormat="1"/>
    <row r="805" s="266" customFormat="1"/>
    <row r="806" s="266" customFormat="1"/>
    <row r="807" s="266" customFormat="1"/>
    <row r="808" s="266" customFormat="1"/>
    <row r="809" s="266" customFormat="1"/>
    <row r="810" s="266" customFormat="1"/>
    <row r="811" s="266" customFormat="1"/>
    <row r="812" s="266" customFormat="1"/>
    <row r="813" s="266" customFormat="1"/>
    <row r="814" s="266" customFormat="1"/>
    <row r="815" s="266" customFormat="1"/>
    <row r="816" s="266" customFormat="1"/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="266" customFormat="1"/>
    <row r="866" s="266" customFormat="1"/>
    <row r="867" s="266" customFormat="1"/>
    <row r="868" s="266" customFormat="1"/>
    <row r="869" s="266" customFormat="1"/>
    <row r="870" s="266" customFormat="1"/>
    <row r="871" s="266" customFormat="1"/>
    <row r="872" s="266" customFormat="1"/>
    <row r="873" s="266" customFormat="1"/>
    <row r="874" s="266" customFormat="1"/>
    <row r="875" s="266" customFormat="1"/>
    <row r="876" s="266" customFormat="1"/>
    <row r="877" s="266" customFormat="1"/>
    <row r="878" s="266" customFormat="1"/>
    <row r="879" s="266" customFormat="1"/>
    <row r="880" s="266" customFormat="1"/>
    <row r="881" s="266" customFormat="1"/>
    <row r="882" s="266" customFormat="1"/>
    <row r="883" s="266" customFormat="1"/>
    <row r="884" s="266" customFormat="1"/>
    <row r="885" s="266" customFormat="1"/>
    <row r="886" s="266" customFormat="1"/>
    <row r="887" s="266" customFormat="1"/>
    <row r="888" s="266" customFormat="1"/>
    <row r="889" s="266" customFormat="1"/>
    <row r="890" s="266" customFormat="1"/>
    <row r="891" s="266" customFormat="1"/>
    <row r="892" s="266" customFormat="1"/>
    <row r="893" s="266" customFormat="1"/>
    <row r="894" s="266" customFormat="1"/>
    <row r="895" s="266" customFormat="1"/>
    <row r="896" s="266" customFormat="1"/>
    <row r="897" s="266" customFormat="1"/>
    <row r="898" s="266" customFormat="1"/>
    <row r="899" s="266" customFormat="1"/>
    <row r="900" s="266" customFormat="1"/>
    <row r="901" s="266" customFormat="1"/>
    <row r="902" s="266" customFormat="1"/>
    <row r="903" s="266" customFormat="1"/>
    <row r="904" s="266" customFormat="1"/>
    <row r="905" s="266" customFormat="1"/>
    <row r="906" s="266" customFormat="1"/>
    <row r="907" s="266" customFormat="1"/>
    <row r="908" s="266" customFormat="1"/>
    <row r="909" s="266" customFormat="1"/>
    <row r="910" s="266" customFormat="1"/>
    <row r="911" s="266" customFormat="1"/>
    <row r="912" s="266" customFormat="1"/>
    <row r="913" s="266" customFormat="1"/>
    <row r="914" s="266" customFormat="1"/>
    <row r="915" s="266" customFormat="1"/>
    <row r="916" s="266" customFormat="1"/>
    <row r="917" s="266" customFormat="1"/>
    <row r="918" s="266" customFormat="1"/>
    <row r="919" s="266" customFormat="1"/>
    <row r="920" s="266" customFormat="1"/>
    <row r="921" s="266" customFormat="1"/>
    <row r="922" s="266" customFormat="1"/>
    <row r="923" s="266" customFormat="1"/>
    <row r="924" s="266" customFormat="1"/>
    <row r="925" s="266" customFormat="1"/>
    <row r="926" s="266" customFormat="1"/>
    <row r="927" s="266" customFormat="1"/>
    <row r="928" s="266" customFormat="1"/>
    <row r="929" s="266" customFormat="1"/>
    <row r="930" s="266" customFormat="1"/>
    <row r="931" s="266" customFormat="1"/>
    <row r="932" s="266" customFormat="1"/>
    <row r="933" s="266" customFormat="1"/>
    <row r="934" s="266" customFormat="1"/>
    <row r="935" s="266" customFormat="1"/>
    <row r="936" s="266" customFormat="1"/>
    <row r="937" s="266" customFormat="1"/>
    <row r="938" s="266" customFormat="1"/>
    <row r="939" s="266" customFormat="1"/>
    <row r="940" s="266" customFormat="1"/>
    <row r="941" s="266" customFormat="1"/>
    <row r="942" s="266" customFormat="1"/>
    <row r="943" s="266" customFormat="1"/>
    <row r="944" s="266" customFormat="1"/>
    <row r="945" s="266" customFormat="1"/>
    <row r="946" s="266" customFormat="1"/>
    <row r="947" s="266" customFormat="1"/>
    <row r="948" s="266" customFormat="1"/>
    <row r="949" s="266" customFormat="1"/>
    <row r="950" s="266" customFormat="1"/>
    <row r="951" s="266" customFormat="1"/>
    <row r="952" s="266" customFormat="1"/>
    <row r="953" s="266" customFormat="1"/>
    <row r="954" s="266" customFormat="1"/>
    <row r="955" s="266" customFormat="1"/>
    <row r="956" s="266" customFormat="1"/>
    <row r="957" s="266" customFormat="1"/>
    <row r="958" s="266" customFormat="1"/>
    <row r="959" s="266" customFormat="1"/>
    <row r="960" s="266" customFormat="1"/>
    <row r="961" s="266" customFormat="1"/>
    <row r="962" s="266" customFormat="1"/>
    <row r="963" s="266" customFormat="1"/>
    <row r="964" s="266" customFormat="1"/>
    <row r="965" s="266" customFormat="1"/>
    <row r="966" s="266" customFormat="1"/>
    <row r="967" s="266" customFormat="1"/>
    <row r="968" s="266" customFormat="1"/>
    <row r="969" s="266" customFormat="1"/>
    <row r="970" s="266" customFormat="1"/>
    <row r="971" s="266" customFormat="1"/>
    <row r="972" s="266" customFormat="1"/>
    <row r="973" s="266" customFormat="1"/>
    <row r="974" s="266" customFormat="1"/>
    <row r="975" s="266" customFormat="1"/>
    <row r="976" s="266" customFormat="1"/>
    <row r="977" s="266" customFormat="1"/>
    <row r="978" s="266" customFormat="1"/>
    <row r="979" s="266" customFormat="1"/>
    <row r="980" s="266" customFormat="1"/>
    <row r="981" s="266" customFormat="1"/>
    <row r="982" s="266" customFormat="1"/>
    <row r="983" s="266" customFormat="1"/>
    <row r="984" s="266" customFormat="1"/>
    <row r="985" s="266" customFormat="1"/>
    <row r="986" s="266" customFormat="1"/>
    <row r="987" s="266" customFormat="1"/>
    <row r="988" s="266" customFormat="1"/>
    <row r="989" s="266" customFormat="1"/>
    <row r="990" s="266" customFormat="1"/>
    <row r="991" s="266" customFormat="1"/>
    <row r="992" s="266" customFormat="1"/>
    <row r="993" s="266" customFormat="1"/>
    <row r="994" s="266" customFormat="1"/>
    <row r="995" s="266" customFormat="1"/>
    <row r="996" s="266" customFormat="1"/>
    <row r="997" s="266" customFormat="1"/>
    <row r="998" s="266" customFormat="1"/>
    <row r="999" s="266" customFormat="1"/>
    <row r="1000" s="266" customFormat="1"/>
    <row r="1001" s="266" customFormat="1"/>
    <row r="1002" s="266" customFormat="1"/>
    <row r="1003" s="266" customFormat="1"/>
    <row r="1004" s="266" customFormat="1"/>
    <row r="1005" s="266" customFormat="1"/>
    <row r="1006" s="266" customFormat="1"/>
    <row r="1007" s="266" customFormat="1"/>
    <row r="1008" s="266" customFormat="1"/>
    <row r="1009" s="266" customFormat="1"/>
    <row r="1010" s="266" customFormat="1"/>
    <row r="1011" s="266" customFormat="1"/>
    <row r="1012" s="266" customFormat="1"/>
    <row r="1013" s="266" customFormat="1"/>
    <row r="1014" s="266" customFormat="1"/>
    <row r="1015" s="266" customFormat="1"/>
    <row r="1016" s="266" customFormat="1"/>
    <row r="1017" s="266" customFormat="1"/>
    <row r="1018" s="266" customFormat="1"/>
    <row r="1019" s="266" customFormat="1"/>
    <row r="1020" s="266" customFormat="1"/>
    <row r="1021" s="266" customFormat="1"/>
    <row r="1022" s="266" customFormat="1"/>
    <row r="1023" s="266" customFormat="1"/>
    <row r="1024" s="266" customFormat="1"/>
    <row r="1025" s="266" customFormat="1"/>
    <row r="1026" s="266" customFormat="1"/>
    <row r="1027" s="266" customFormat="1"/>
    <row r="1028" s="266" customFormat="1"/>
    <row r="1029" s="266" customFormat="1"/>
    <row r="1030" s="266" customFormat="1"/>
    <row r="1031" s="266" customFormat="1"/>
    <row r="1032" s="266" customFormat="1"/>
    <row r="1033" s="266" customFormat="1"/>
    <row r="1034" s="266" customFormat="1"/>
    <row r="1035" s="266" customFormat="1"/>
    <row r="1036" s="266" customFormat="1"/>
    <row r="1037" s="266" customFormat="1"/>
    <row r="1038" s="266" customFormat="1"/>
    <row r="1039" s="266" customFormat="1"/>
    <row r="1040" s="266" customFormat="1"/>
    <row r="1041" s="266" customFormat="1"/>
    <row r="1042" s="266" customFormat="1"/>
    <row r="1043" s="266" customFormat="1"/>
    <row r="1044" s="266" customFormat="1"/>
    <row r="1045" s="266" customFormat="1"/>
    <row r="1046" s="266" customFormat="1"/>
    <row r="1047" s="266" customFormat="1"/>
    <row r="1048" s="266" customFormat="1"/>
    <row r="1049" s="266" customFormat="1"/>
    <row r="1050" s="266" customFormat="1"/>
    <row r="1051" s="266" customFormat="1"/>
    <row r="1052" s="266" customFormat="1"/>
    <row r="1053" s="266" customFormat="1"/>
    <row r="1054" s="266" customFormat="1"/>
    <row r="1055" s="266" customFormat="1"/>
    <row r="1056" s="266" customFormat="1"/>
    <row r="1057" s="266" customFormat="1"/>
    <row r="1058" s="266" customFormat="1"/>
    <row r="1059" s="266" customFormat="1"/>
    <row r="1060" s="266" customFormat="1"/>
    <row r="1061" s="266" customFormat="1"/>
    <row r="1062" s="266" customFormat="1"/>
    <row r="1063" s="266" customFormat="1"/>
    <row r="1064" s="266" customFormat="1"/>
    <row r="1065" s="266" customFormat="1"/>
    <row r="1066" s="266" customFormat="1"/>
    <row r="1067" s="266" customFormat="1"/>
    <row r="1068" s="266" customFormat="1"/>
    <row r="1069" s="266" customFormat="1"/>
    <row r="1070" s="266" customFormat="1"/>
    <row r="1071" s="266" customFormat="1"/>
    <row r="1072" s="266" customFormat="1"/>
    <row r="1073" s="266" customFormat="1"/>
    <row r="1074" s="266" customFormat="1"/>
    <row r="1075" s="266" customFormat="1"/>
    <row r="1076" s="266" customFormat="1"/>
    <row r="1077" s="266" customFormat="1"/>
    <row r="1078" s="266" customFormat="1"/>
    <row r="1079" s="266" customFormat="1"/>
    <row r="1080" s="266" customFormat="1"/>
    <row r="1081" s="266" customFormat="1"/>
    <row r="1082" s="266" customFormat="1"/>
    <row r="1083" s="266" customFormat="1"/>
    <row r="1084" s="266" customFormat="1"/>
    <row r="1085" s="266" customFormat="1"/>
    <row r="1086" s="266" customFormat="1"/>
    <row r="1087" s="266" customFormat="1"/>
    <row r="1088" s="266" customFormat="1"/>
    <row r="1089" s="266" customFormat="1"/>
    <row r="1090" s="266" customFormat="1"/>
    <row r="1091" s="266" customFormat="1"/>
    <row r="1092" s="266" customFormat="1"/>
    <row r="1093" s="266" customFormat="1"/>
    <row r="1094" s="266" customFormat="1"/>
    <row r="1095" s="266" customFormat="1"/>
    <row r="1096" s="266" customFormat="1"/>
    <row r="1097" s="266" customFormat="1"/>
    <row r="1098" s="266" customFormat="1"/>
    <row r="1099" s="266" customFormat="1"/>
    <row r="1100" s="266" customFormat="1"/>
    <row r="1101" s="266" customFormat="1"/>
    <row r="1102" s="266" customFormat="1"/>
    <row r="1103" s="266" customFormat="1"/>
    <row r="1104" s="266" customFormat="1"/>
    <row r="1105" s="266" customFormat="1"/>
    <row r="1106" s="266" customFormat="1"/>
    <row r="1107" s="266" customFormat="1"/>
    <row r="1108" s="266" customFormat="1"/>
    <row r="1109" s="266" customFormat="1"/>
    <row r="1110" s="266" customFormat="1"/>
    <row r="1111" s="266" customFormat="1"/>
    <row r="1112" s="266" customFormat="1"/>
    <row r="1113" s="266" customFormat="1"/>
    <row r="1114" s="266" customFormat="1"/>
    <row r="1115" s="266" customFormat="1"/>
    <row r="1116" s="266" customFormat="1"/>
    <row r="1117" s="266" customFormat="1"/>
    <row r="1118" s="266" customFormat="1"/>
    <row r="1119" s="266" customFormat="1"/>
    <row r="1120" s="266" customFormat="1"/>
    <row r="1121" s="266" customFormat="1"/>
    <row r="1122" s="266" customFormat="1"/>
    <row r="1123" s="266" customFormat="1"/>
    <row r="1124" s="266" customFormat="1"/>
    <row r="1125" s="266" customFormat="1"/>
    <row r="1126" s="266" customFormat="1"/>
    <row r="1127" s="266" customFormat="1"/>
    <row r="1128" s="266" customFormat="1"/>
    <row r="1129" s="266" customFormat="1"/>
    <row r="1130" s="266" customFormat="1"/>
    <row r="1131" s="266" customFormat="1"/>
    <row r="1132" s="266" customFormat="1"/>
    <row r="1133" s="266" customFormat="1"/>
    <row r="1134" s="266" customFormat="1"/>
    <row r="1135" s="266" customFormat="1"/>
    <row r="1136" s="266" customFormat="1"/>
    <row r="1137" s="266" customFormat="1"/>
    <row r="1138" s="266" customFormat="1"/>
    <row r="1139" s="266" customFormat="1"/>
    <row r="1140" s="266" customFormat="1"/>
    <row r="1141" s="266" customFormat="1"/>
    <row r="1142" s="266" customFormat="1"/>
    <row r="1143" s="266" customFormat="1"/>
    <row r="1144" s="266" customFormat="1"/>
    <row r="1145" s="266" customFormat="1"/>
    <row r="1146" s="266" customFormat="1"/>
    <row r="1147" s="266" customFormat="1"/>
    <row r="1148" s="266" customFormat="1"/>
    <row r="1149" s="266" customFormat="1"/>
    <row r="1150" s="266" customFormat="1"/>
    <row r="1151" s="266" customFormat="1"/>
    <row r="1152" s="266" customFormat="1"/>
    <row r="1153" s="266" customFormat="1"/>
    <row r="1154" s="266" customFormat="1"/>
    <row r="1155" s="266" customFormat="1"/>
    <row r="1156" s="266" customFormat="1"/>
    <row r="1157" s="266" customFormat="1"/>
    <row r="1158" s="266" customFormat="1"/>
    <row r="1159" s="266" customFormat="1"/>
    <row r="1160" s="266" customFormat="1"/>
    <row r="1161" s="266" customFormat="1"/>
    <row r="1162" s="266" customFormat="1"/>
    <row r="1163" s="266" customFormat="1"/>
    <row r="1164" s="266" customFormat="1"/>
    <row r="1165" s="266" customFormat="1"/>
    <row r="1166" s="266" customFormat="1"/>
    <row r="1167" s="266" customFormat="1"/>
    <row r="1168" s="266" customFormat="1"/>
    <row r="1169" s="266" customFormat="1"/>
    <row r="1170" s="266" customFormat="1"/>
    <row r="1171" s="266" customFormat="1"/>
    <row r="1172" s="266" customFormat="1"/>
    <row r="1173" s="266" customFormat="1"/>
    <row r="1174" s="266" customFormat="1"/>
    <row r="1175" s="266" customFormat="1"/>
    <row r="1176" s="266" customFormat="1"/>
    <row r="1177" s="266" customFormat="1"/>
    <row r="1178" s="266" customFormat="1"/>
    <row r="1179" s="266" customFormat="1"/>
    <row r="1180" s="266" customFormat="1"/>
    <row r="1181" s="266" customFormat="1"/>
    <row r="1182" s="266" customFormat="1"/>
    <row r="1183" s="266" customFormat="1"/>
    <row r="1184" s="266" customFormat="1"/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9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79"/>
  <sheetViews>
    <sheetView topLeftCell="D16" workbookViewId="0">
      <selection activeCell="H19" sqref="H19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8" ht="37.5" customHeight="1">
      <c r="B1" s="1061" t="s">
        <v>1159</v>
      </c>
      <c r="C1" s="1158"/>
      <c r="D1" s="1062"/>
      <c r="E1" s="1062"/>
      <c r="F1" s="1271" t="s">
        <v>952</v>
      </c>
      <c r="G1" s="1272">
        <f ca="1">LnkTXTIRTEco</f>
        <v>0.21260000000000001</v>
      </c>
    </row>
    <row r="2" spans="2:18" ht="23.25" customHeight="1">
      <c r="B2" s="138" t="str">
        <f>CAPA!C9</f>
        <v>Cercos</v>
      </c>
      <c r="C2" s="70"/>
      <c r="D2" s="70"/>
      <c r="E2" s="70"/>
      <c r="F2" s="121" t="s">
        <v>956</v>
      </c>
      <c r="G2" s="122">
        <f ca="1">LnkTXTIRTTotal</f>
        <v>8.3900000000000002E-2</v>
      </c>
    </row>
    <row r="3" spans="2:18" ht="16.5">
      <c r="B3" s="71" t="s">
        <v>760</v>
      </c>
      <c r="K3" s="71" t="s">
        <v>1160</v>
      </c>
      <c r="O3" s="9" t="s">
        <v>1161</v>
      </c>
    </row>
    <row r="4" spans="2:18">
      <c r="B4" s="1319" t="s">
        <v>855</v>
      </c>
      <c r="C4" s="1319" t="s">
        <v>772</v>
      </c>
      <c r="K4" s="1319" t="s">
        <v>974</v>
      </c>
      <c r="L4" s="1319" t="s">
        <v>977</v>
      </c>
      <c r="O4" s="68" t="s">
        <v>1162</v>
      </c>
    </row>
    <row r="5" spans="2:18">
      <c r="B5" s="1320" t="s">
        <v>1163</v>
      </c>
      <c r="C5" s="1321">
        <f ca="1">SUM(C6,C9)</f>
        <v>12849.937059999998</v>
      </c>
      <c r="K5" s="68" t="s">
        <v>858</v>
      </c>
      <c r="L5" s="141">
        <f ca="1">FornecimentoE</f>
        <v>11220.683000000005</v>
      </c>
      <c r="O5" s="68" t="s">
        <v>1164</v>
      </c>
    </row>
    <row r="6" spans="2:18">
      <c r="B6" s="1322" t="s">
        <v>1165</v>
      </c>
      <c r="C6" s="1323">
        <f ca="1">SUM(C7:C8)</f>
        <v>11220.683000000005</v>
      </c>
      <c r="E6" s="79">
        <f ca="1">C23/LnkTXTEV-1</f>
        <v>0.14520097038656132</v>
      </c>
      <c r="K6" s="68" t="s">
        <v>1166</v>
      </c>
      <c r="L6" s="141">
        <f ca="1">DSUM(MercadoBase,"TE_E",INDIRECT("Mercado_Criterio"&amp;Calc_Mercado!B17))</f>
        <v>0</v>
      </c>
      <c r="O6" s="68" t="s">
        <v>1167</v>
      </c>
    </row>
    <row r="7" spans="2:18">
      <c r="B7" s="145" t="s">
        <v>858</v>
      </c>
      <c r="C7" s="146">
        <f ca="1">L5</f>
        <v>11220.683000000005</v>
      </c>
      <c r="K7" s="68" t="s">
        <v>1168</v>
      </c>
      <c r="L7" s="141">
        <f ca="1">LivreE</f>
        <v>0</v>
      </c>
      <c r="O7" s="68" t="s">
        <v>1169</v>
      </c>
    </row>
    <row r="8" spans="2:18">
      <c r="B8" s="145" t="s">
        <v>867</v>
      </c>
      <c r="C8" s="146">
        <f ca="1">L6</f>
        <v>0</v>
      </c>
      <c r="K8" s="68" t="s">
        <v>957</v>
      </c>
      <c r="L8" s="141">
        <f ca="1">LivreE_A1</f>
        <v>0</v>
      </c>
      <c r="O8" s="68" t="s">
        <v>1170</v>
      </c>
    </row>
    <row r="9" spans="2:18">
      <c r="B9" s="1322" t="s">
        <v>1171</v>
      </c>
      <c r="C9" s="1323">
        <f ca="1">SUM(C10:C12)</f>
        <v>1629.2540599999938</v>
      </c>
      <c r="K9" s="831" t="s">
        <v>1172</v>
      </c>
      <c r="L9" s="1324">
        <f ca="1">FornecimentoE_BT</f>
        <v>10907.865000000005</v>
      </c>
      <c r="O9" s="68" t="s">
        <v>1173</v>
      </c>
    </row>
    <row r="10" spans="2:18">
      <c r="B10" s="145" t="s">
        <v>1174</v>
      </c>
      <c r="C10" s="146">
        <f ca="1">M16+M17</f>
        <v>1629.2540599999938</v>
      </c>
      <c r="J10" s="125"/>
      <c r="O10" s="79"/>
    </row>
    <row r="11" spans="2:18">
      <c r="B11" s="145" t="s">
        <v>1175</v>
      </c>
      <c r="C11" s="478"/>
      <c r="K11" s="71" t="s">
        <v>1176</v>
      </c>
      <c r="L11" s="126"/>
      <c r="O11" s="68" t="s">
        <v>1177</v>
      </c>
      <c r="P11" s="506">
        <f ca="1">L20/(C6+L20)</f>
        <v>0.12679082025013388</v>
      </c>
      <c r="Q11" s="69">
        <f ca="1">P11*($L$23+LnkTXTGPM)</f>
        <v>1629.2540599999936</v>
      </c>
    </row>
    <row r="12" spans="2:18">
      <c r="B12" s="145" t="s">
        <v>1178</v>
      </c>
      <c r="C12" s="478"/>
      <c r="D12" s="72"/>
      <c r="F12" s="72"/>
      <c r="G12" s="127"/>
      <c r="K12" s="147" t="s">
        <v>855</v>
      </c>
      <c r="L12" s="1325" t="s">
        <v>1179</v>
      </c>
      <c r="M12" s="1326" t="s">
        <v>29</v>
      </c>
      <c r="O12" s="68" t="s">
        <v>1180</v>
      </c>
      <c r="P12" s="398">
        <v>0.1389</v>
      </c>
      <c r="Q12" s="69"/>
      <c r="R12" s="142"/>
    </row>
    <row r="13" spans="2:18">
      <c r="B13" s="1327" t="s">
        <v>1181</v>
      </c>
      <c r="C13" s="1328">
        <f ca="1">IFERROR(E23,0)</f>
        <v>250.43822450731611</v>
      </c>
      <c r="D13" s="92"/>
      <c r="E13" s="92"/>
      <c r="F13" s="92"/>
      <c r="G13" s="92"/>
      <c r="K13" s="68" t="s">
        <v>1182</v>
      </c>
      <c r="L13" s="398">
        <f>CAPA!H30</f>
        <v>0</v>
      </c>
      <c r="M13" s="476">
        <f ca="1">IFERROR(IF($L$21&lt;$L$20,L13,($L$20/$L$21)*L13),0)</f>
        <v>0</v>
      </c>
      <c r="O13" s="68" t="s">
        <v>1183</v>
      </c>
      <c r="P13" s="506">
        <f ca="1">IF(P11&lt;P12,P11,(IF(P11=0,0,P11*0.75+P12*0.25)))</f>
        <v>0.12679082025013388</v>
      </c>
      <c r="Q13" s="69">
        <f ca="1">($L$5+$L$6-$L$8)*P13/(1-P13)</f>
        <v>1629.2540599999936</v>
      </c>
    </row>
    <row r="14" spans="2:18">
      <c r="B14" s="1329" t="s">
        <v>1184</v>
      </c>
      <c r="C14" s="1330">
        <f ca="1">C13*C5</f>
        <v>3218115.4223371609</v>
      </c>
      <c r="D14" s="128"/>
      <c r="E14" s="128"/>
      <c r="F14" s="128"/>
      <c r="G14" s="129"/>
      <c r="K14" s="68" t="s">
        <v>1185</v>
      </c>
      <c r="L14" s="398">
        <f>IF(CAPA!P1="verdadeiro",IF(CAPA!H29=0,CAPA!K34,CAPA!H29),CAPA!H41)</f>
        <v>0.1389</v>
      </c>
      <c r="M14" s="398">
        <f ca="1">M17/((L5+L6-L8+M16)+M17)</f>
        <v>0.12679082025013388</v>
      </c>
      <c r="O14" s="68" t="s">
        <v>1186</v>
      </c>
      <c r="P14" s="506">
        <f ca="1">(L17+L16)/(L16+L17+L5+L6)</f>
        <v>0.1389</v>
      </c>
      <c r="Q14" s="69">
        <f ca="1">IF(CAPA!H33="",(L5+L6-L8)/(1-L14)*L14,CAPA!H33)+IF(CAPA!H34="",L13*L9,CAPA!H34)</f>
        <v>1809.9557179189414</v>
      </c>
    </row>
    <row r="15" spans="2:18">
      <c r="E15" s="79"/>
      <c r="F15" s="72"/>
      <c r="G15" s="127"/>
      <c r="K15" s="831" t="s">
        <v>1187</v>
      </c>
      <c r="L15" s="1331">
        <f>IF(CAPA!H31=0,0,CAPA!H31)</f>
        <v>0</v>
      </c>
      <c r="M15" s="1332">
        <f ca="1">IFERROR(IF($L$21&lt;$L$20,L15,($L$20/$L$21)*L15),0)</f>
        <v>0</v>
      </c>
      <c r="O15" s="68" t="s">
        <v>1188</v>
      </c>
      <c r="P15" s="79">
        <f ca="1">IF(P14&lt;P13,P14,P13)</f>
        <v>0.12679082025013388</v>
      </c>
      <c r="Q15" s="69">
        <f ca="1">IF(Q14&lt;Q13,Q14,Q13)</f>
        <v>1629.2540599999936</v>
      </c>
      <c r="R15" s="79">
        <f ca="1">Q15/(L5+Q15)</f>
        <v>0.12679082025013388</v>
      </c>
    </row>
    <row r="16" spans="2:18">
      <c r="B16" s="130" t="s">
        <v>1189</v>
      </c>
      <c r="C16" s="131"/>
      <c r="D16" s="132"/>
      <c r="E16" s="132"/>
      <c r="F16" s="132"/>
      <c r="K16" s="1333" t="s">
        <v>1190</v>
      </c>
      <c r="L16" s="1333">
        <f ca="1">IF(CAPA!H34="",L13*L9,CAPA!H34)</f>
        <v>0</v>
      </c>
      <c r="M16" s="477">
        <f ca="1">IF(CAPA!P1="verdadeiro",IF($L$21&lt;$L$20,L16,($L$20/$L$21)*L16),L16)</f>
        <v>0</v>
      </c>
      <c r="O16" s="142" t="s">
        <v>1191</v>
      </c>
      <c r="P16" s="79">
        <f ca="1">IF(P15&gt;P12,P12,P15)</f>
        <v>0.12679082025013388</v>
      </c>
      <c r="Q16" s="69">
        <f ca="1">($L$5+$L$6-$L$8+Q15)*P16</f>
        <v>1629.2540599999936</v>
      </c>
    </row>
    <row r="17" spans="1:22">
      <c r="B17" s="1319" t="s">
        <v>1192</v>
      </c>
      <c r="C17" s="1319" t="s">
        <v>1193</v>
      </c>
      <c r="D17" s="1319"/>
      <c r="E17" s="1319" t="s">
        <v>1194</v>
      </c>
      <c r="F17" s="1319" t="s">
        <v>1195</v>
      </c>
      <c r="K17" s="141" t="s">
        <v>1196</v>
      </c>
      <c r="L17" s="141">
        <f ca="1">IF(CAPA!H33="",(L5+L6-L8+L16)/(1-L14)*L14,CAPA!H33)</f>
        <v>1809.9557179189414</v>
      </c>
      <c r="M17" s="477">
        <f ca="1">IF(CAPA!P1="verdadeiro",IF($L$21&lt;$L$20,L17,($L$20/$L$21)*L17),L17)</f>
        <v>1629.2540599999938</v>
      </c>
      <c r="N17" s="142"/>
      <c r="O17" s="68" t="s">
        <v>1197</v>
      </c>
      <c r="P17" s="398">
        <f ca="1">P15-P16</f>
        <v>0</v>
      </c>
      <c r="Q17" s="69">
        <f ca="1">Q15-Q16</f>
        <v>0</v>
      </c>
    </row>
    <row r="18" spans="1:22">
      <c r="B18" s="78" t="s">
        <v>270</v>
      </c>
      <c r="C18" s="798">
        <f ca="1">IFERROR(C56*N29,0)</f>
        <v>0</v>
      </c>
      <c r="D18" s="123"/>
      <c r="E18" s="123">
        <f>CAPA!E58</f>
        <v>0</v>
      </c>
      <c r="F18" s="77">
        <f ca="1">C18*E18</f>
        <v>0</v>
      </c>
      <c r="G18" s="799"/>
      <c r="H18" s="801">
        <f>253.57/230.1-1</f>
        <v>0.10199913081269019</v>
      </c>
      <c r="I18" s="134"/>
      <c r="K18" s="141" t="s">
        <v>1175</v>
      </c>
      <c r="L18" s="399">
        <f ca="1">(L16+L17)*L15</f>
        <v>0</v>
      </c>
      <c r="M18" s="399">
        <f ca="1">IFERROR(IF($L$21&lt;$L$20,L18,($L$20/$L$21)*L18),0)</f>
        <v>0</v>
      </c>
      <c r="O18" s="68" t="s">
        <v>1198</v>
      </c>
      <c r="P18" s="79">
        <f ca="1">Q17/L9</f>
        <v>0</v>
      </c>
    </row>
    <row r="19" spans="1:22">
      <c r="B19" s="78" t="s">
        <v>47</v>
      </c>
      <c r="C19" s="256" cm="1">
        <f t="array" ref="C19">TabEnergiaProinfa[MWh]</f>
        <v>158.70614807366212</v>
      </c>
      <c r="D19" s="89"/>
      <c r="E19" s="89">
        <v>0</v>
      </c>
      <c r="F19" s="77">
        <v>0</v>
      </c>
      <c r="G19" s="800"/>
      <c r="H19" s="801"/>
      <c r="K19" s="1324" t="s">
        <v>1178</v>
      </c>
      <c r="L19" s="1334">
        <f ca="1">(L5+L6)*L15</f>
        <v>0</v>
      </c>
      <c r="M19" s="1334">
        <f ca="1">IFERROR(IF($L$21&lt;$L$20,L19,($L$20/$L$21)*L19),0)</f>
        <v>0</v>
      </c>
      <c r="P19" s="142"/>
    </row>
    <row r="20" spans="1:22">
      <c r="B20" s="78" t="str">
        <f>B49</f>
        <v>Angra</v>
      </c>
      <c r="C20" s="256">
        <f ca="1">C49*N29</f>
        <v>0</v>
      </c>
      <c r="D20" s="89"/>
      <c r="E20" s="89">
        <f>E49</f>
        <v>0</v>
      </c>
      <c r="F20" s="77">
        <f ca="1">E20*C20</f>
        <v>0</v>
      </c>
      <c r="G20" s="800"/>
      <c r="H20" s="801"/>
      <c r="J20" s="134"/>
      <c r="K20" s="141" t="s">
        <v>1199</v>
      </c>
      <c r="L20" s="141">
        <f ca="1">IF(L24-LnkTXTEV+LnkTXTGPM&lt;0,0,L24-LnkTXTEV+LnkTXTGPM)</f>
        <v>1629.2540599999938</v>
      </c>
      <c r="M20" s="399"/>
      <c r="N20" s="142"/>
    </row>
    <row r="21" spans="1:22">
      <c r="B21" s="78" t="str">
        <f>B50</f>
        <v>CCGF</v>
      </c>
      <c r="C21" s="256">
        <f ca="1">(C50+C51)*N29</f>
        <v>0</v>
      </c>
      <c r="D21" s="89"/>
      <c r="E21" s="89">
        <f>E50</f>
        <v>0</v>
      </c>
      <c r="F21" s="77">
        <f ca="1">E21*C21</f>
        <v>0</v>
      </c>
      <c r="G21" s="800"/>
      <c r="H21" s="801"/>
      <c r="K21" s="1324" t="s">
        <v>1200</v>
      </c>
      <c r="L21" s="1324">
        <f ca="1">L16+L17</f>
        <v>1809.9557179189414</v>
      </c>
      <c r="M21" s="1334"/>
    </row>
    <row r="22" spans="1:22">
      <c r="B22" s="78" t="s">
        <v>1201</v>
      </c>
      <c r="C22" s="1667">
        <f ca="1">J46*N29</f>
        <v>12691.230911926335</v>
      </c>
      <c r="D22" s="89"/>
      <c r="E22" s="89">
        <f ca="1">K46</f>
        <v>253.57</v>
      </c>
      <c r="F22" s="77">
        <f ca="1">E22*C22</f>
        <v>3218115.4223371609</v>
      </c>
      <c r="G22" s="800"/>
      <c r="H22" s="801"/>
    </row>
    <row r="23" spans="1:22">
      <c r="B23" s="1335" t="s">
        <v>1202</v>
      </c>
      <c r="C23" s="1336">
        <f ca="1">SUM(C18:C22)</f>
        <v>12849.937059999998</v>
      </c>
      <c r="D23" s="1337"/>
      <c r="E23" s="1337">
        <f ca="1">IF(SUM(C18:C22)=0,0,SUM(F18:F22)/SUM(C18:C22))</f>
        <v>250.43822450731611</v>
      </c>
      <c r="F23" s="1338">
        <f ca="1">SUM(F18:F22)</f>
        <v>3218115.4223371609</v>
      </c>
      <c r="G23" s="800"/>
      <c r="H23" s="801"/>
      <c r="K23" s="1339" t="s">
        <v>1203</v>
      </c>
      <c r="L23" s="1340">
        <f ca="1">SUMIF(CUSD!F6:F30,"Energia",CUSD!G6:G30)/1000-L7</f>
        <v>12849.937059999998</v>
      </c>
      <c r="M23" s="68">
        <f ca="1">LnkTXTEV</f>
        <v>11220.683000000005</v>
      </c>
    </row>
    <row r="24" spans="1:22" ht="27.75" customHeight="1">
      <c r="E24" s="68">
        <v>192.89</v>
      </c>
      <c r="F24" s="135"/>
      <c r="G24" s="800"/>
      <c r="H24" s="859"/>
      <c r="J24" s="72"/>
      <c r="K24" s="1339" t="s">
        <v>879</v>
      </c>
      <c r="L24" s="1341">
        <f>E35+L25+C56</f>
        <v>12849.937059999998</v>
      </c>
      <c r="M24" s="783">
        <f ca="1">L23/L24-1</f>
        <v>0</v>
      </c>
    </row>
    <row r="25" spans="1:22">
      <c r="E25" s="93"/>
      <c r="F25" s="135"/>
      <c r="G25" s="127"/>
      <c r="H25" s="72"/>
      <c r="I25" s="72"/>
      <c r="J25" s="72"/>
      <c r="K25" s="1339" t="s">
        <v>1204</v>
      </c>
      <c r="L25" s="1342">
        <f>SUMIFS(Faturas!V:V,Faturas!U:U,"Proinfa*")/1000</f>
        <v>162.803</v>
      </c>
    </row>
    <row r="26" spans="1:22">
      <c r="A26" s="74"/>
      <c r="B26" s="71"/>
      <c r="F26" s="91"/>
      <c r="G26" s="72">
        <v>201</v>
      </c>
      <c r="H26" s="72"/>
      <c r="I26" s="72"/>
      <c r="K26" s="130"/>
      <c r="L26" s="855"/>
      <c r="M26" s="101"/>
      <c r="N26" s="101"/>
    </row>
    <row r="27" spans="1:22" ht="24" customHeight="1">
      <c r="B27" s="1343" t="s">
        <v>27</v>
      </c>
      <c r="C27" s="1343" t="s">
        <v>954</v>
      </c>
      <c r="D27" s="1343" t="s">
        <v>1205</v>
      </c>
      <c r="E27" s="1343" t="s">
        <v>977</v>
      </c>
      <c r="F27" s="1343" t="s">
        <v>1206</v>
      </c>
      <c r="G27" s="1344" t="s">
        <v>1207</v>
      </c>
      <c r="H27" s="1344" t="s">
        <v>1208</v>
      </c>
      <c r="I27" s="1344" t="s">
        <v>1209</v>
      </c>
      <c r="K27" s="71" t="s">
        <v>1210</v>
      </c>
    </row>
    <row r="28" spans="1:22" ht="16.5">
      <c r="A28" s="74" t="s">
        <v>2242</v>
      </c>
      <c r="B28" s="526" t="s">
        <v>2243</v>
      </c>
      <c r="C28" s="526" t="s">
        <v>2220</v>
      </c>
      <c r="D28" s="526">
        <f>IF(B28="","",SUMIFS(Faturas!V:V,Faturas!U:U,"Consumo*",Faturas!S:S,Energia!C28,Faturas!R:R,Energia!B28))</f>
        <v>12687134.059999999</v>
      </c>
      <c r="E28" s="526">
        <f>IF(B28="","",D28/1000)</f>
        <v>12687.134059999998</v>
      </c>
      <c r="F28" s="618">
        <f>I28</f>
        <v>0</v>
      </c>
      <c r="G28" s="527">
        <f>IFERROR(VLOOKUP(CONCATENATE(A28,A64),BD!$H$43:$S$59,12,FALSE),"")</f>
        <v>253.57</v>
      </c>
      <c r="H28" s="527">
        <f>IF(B28="","",IFERROR(G28*(1-F28),0))</f>
        <v>253.57</v>
      </c>
      <c r="I28" s="525">
        <f>IF(A64="","",_xlfn.IFNA(VLOOKUP(CONCATENATE($B$2,A28,A64),DescontosTE[[#All],[chave]:[2021]],8,FALSE),0))</f>
        <v>0</v>
      </c>
      <c r="K28" s="1345" t="s">
        <v>22</v>
      </c>
      <c r="L28" s="1346" t="s">
        <v>1211</v>
      </c>
      <c r="M28" s="1346" t="s">
        <v>1212</v>
      </c>
      <c r="N28" s="1347" t="s">
        <v>1213</v>
      </c>
      <c r="P28" s="68" t="s">
        <v>977</v>
      </c>
      <c r="Q28" s="68" t="s">
        <v>1206</v>
      </c>
      <c r="R28" s="68" t="s">
        <v>1207</v>
      </c>
      <c r="S28" s="68" t="s">
        <v>1208</v>
      </c>
      <c r="T28" s="68" t="s">
        <v>1209</v>
      </c>
    </row>
    <row r="29" spans="1:22">
      <c r="A29" s="74"/>
      <c r="B29" s="526"/>
      <c r="C29" s="526"/>
      <c r="D29" s="526" t="str">
        <f>IF(B29="","",SUMIFS(Faturas!V:V,Faturas!U:U,"Consumo*",Faturas!S:S,Energia!C29,Faturas!R:R,Energia!B29))</f>
        <v/>
      </c>
      <c r="E29" s="526" t="str">
        <f>IF(B29="","",D29/1000)</f>
        <v/>
      </c>
      <c r="F29" s="618" t="str">
        <f t="shared" ref="F29:F32" si="0">I29</f>
        <v/>
      </c>
      <c r="G29" s="527" t="str">
        <f>IFERROR(VLOOKUP(CONCATENATE(A29,A65),BD!$H$43:$S$59,12,FALSE),"")</f>
        <v/>
      </c>
      <c r="H29" s="527" t="str">
        <f t="shared" ref="H29:H34" si="1">IF(B29="","",IFERROR(G29*(1-F29),0))</f>
        <v/>
      </c>
      <c r="I29" s="525" t="str">
        <f>IF(A65="","",_xlfn.IFNA(VLOOKUP(CONCATENATE($B$2,A29,A65),DescontosTE[[#All],[chave]:[2021]],8,FALSE),0))</f>
        <v/>
      </c>
      <c r="K29" s="68" t="s">
        <v>1214</v>
      </c>
      <c r="L29" s="142">
        <f>J46+C49+C50+C51+C56</f>
        <v>12687.134059999998</v>
      </c>
      <c r="M29" s="93">
        <f ca="1">LnkTXTER-LnkTXTProinfa</f>
        <v>12691.230911926335</v>
      </c>
      <c r="N29" s="212">
        <f ca="1">M29/L29</f>
        <v>1.0003229138989911</v>
      </c>
      <c r="O29" s="130"/>
      <c r="P29" s="68">
        <v>88939.902920000008</v>
      </c>
      <c r="Q29" s="68">
        <f>Q30</f>
        <v>0.63819999999999999</v>
      </c>
      <c r="R29" s="68">
        <v>273.60000000000002</v>
      </c>
      <c r="S29" s="527">
        <f ca="1">IF(M29="","",IFERROR(R29*(1-Q29),0))</f>
        <v>98.98848000000001</v>
      </c>
      <c r="T29" s="142">
        <f ca="1">S29*P29</f>
        <v>8804025.801398363</v>
      </c>
      <c r="U29" s="68">
        <f>R29*P29</f>
        <v>24333957.438912004</v>
      </c>
      <c r="V29" s="142">
        <f ca="1">U29-T29</f>
        <v>15529931.637513641</v>
      </c>
    </row>
    <row r="30" spans="1:22" ht="15.75">
      <c r="A30" s="74"/>
      <c r="B30" s="526"/>
      <c r="C30" s="526"/>
      <c r="D30" s="526" t="str">
        <f>IF(B30="","",SUMIFS(Faturas!V:V,Faturas!U:U,"Consumo*",Faturas!S:S,Energia!C30,Faturas!R:R,Energia!B30))</f>
        <v/>
      </c>
      <c r="E30" s="526" t="str">
        <f>IF(B30="","",D30/1000)</f>
        <v/>
      </c>
      <c r="F30" s="618" t="str">
        <f t="shared" si="0"/>
        <v/>
      </c>
      <c r="G30" s="527" t="str">
        <f>IFERROR(VLOOKUP(CONCATENATE(A30,A66),BD!$H$43:$S$59,12,FALSE),"")</f>
        <v/>
      </c>
      <c r="H30" s="527" t="str">
        <f t="shared" si="1"/>
        <v/>
      </c>
      <c r="I30" s="525" t="str">
        <f>IF(A66="","",_xlfn.IFNA(VLOOKUP(CONCATENATE($B$2,A30,A66),DescontosTE[[#All],[chave]:[2021]],8,FALSE),0))</f>
        <v/>
      </c>
      <c r="K30" s="841"/>
      <c r="L30" s="842"/>
      <c r="M30" s="844"/>
      <c r="N30" s="844"/>
      <c r="O30" s="130"/>
      <c r="P30" s="68">
        <v>121096.97702999999</v>
      </c>
      <c r="Q30" s="68">
        <v>0.63819999999999999</v>
      </c>
      <c r="R30" s="68">
        <v>273.60000000000002</v>
      </c>
      <c r="S30" s="527" t="str">
        <f>IF(J28="","",IFERROR(R30*(1-Q30),0))</f>
        <v/>
      </c>
      <c r="T30" s="142" t="e">
        <f t="shared" ref="T30" si="2">S30*P30</f>
        <v>#VALUE!</v>
      </c>
      <c r="U30" s="68">
        <f t="shared" ref="U30" si="3">R30*P30</f>
        <v>33132132.915408</v>
      </c>
      <c r="V30" s="142" t="e">
        <f t="shared" ref="V30:V31" si="4">U30-T30</f>
        <v>#VALUE!</v>
      </c>
    </row>
    <row r="31" spans="1:22" ht="15.75">
      <c r="A31" s="74"/>
      <c r="B31" s="526"/>
      <c r="C31" s="526"/>
      <c r="D31" s="526" t="str">
        <f>IF(B31="","",SUMIFS(Faturas!V:V,Faturas!U:U,"Consumo*",Faturas!S:S,Energia!C31,Faturas!R:R,Energia!B31))</f>
        <v/>
      </c>
      <c r="E31" s="526" t="str">
        <f t="shared" ref="E31:E34" si="5">IF(B31="","",D31/1000)</f>
        <v/>
      </c>
      <c r="F31" s="618" t="str">
        <f t="shared" si="0"/>
        <v/>
      </c>
      <c r="G31" s="527" t="str">
        <f>IFERROR(VLOOKUP(CONCATENATE(A31,A67),BD!$H$43:$S$59,12,FALSE),"")</f>
        <v/>
      </c>
      <c r="H31" s="527" t="str">
        <f t="shared" si="1"/>
        <v/>
      </c>
      <c r="I31" s="525" t="str">
        <f>IF(A67="","",_xlfn.IFNA(VLOOKUP(CONCATENATE($B$2,A31,A67),DescontosTE[[#All],[chave]:[2021]],8,FALSE),0))</f>
        <v/>
      </c>
      <c r="K31" s="841"/>
      <c r="L31" s="844"/>
      <c r="M31" s="843"/>
      <c r="N31" s="845"/>
      <c r="O31" s="130"/>
      <c r="P31" s="68">
        <v>252593.90320000003</v>
      </c>
      <c r="Q31" s="68">
        <v>0.53600000000000003</v>
      </c>
      <c r="R31" s="68">
        <v>273.60000000000002</v>
      </c>
      <c r="S31" s="527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4"/>
        <v>#VALUE!</v>
      </c>
    </row>
    <row r="32" spans="1:22" ht="15.75">
      <c r="A32" s="74"/>
      <c r="B32" s="526"/>
      <c r="C32" s="526"/>
      <c r="D32" s="526" t="str">
        <f>IF(B32="","",SUMIFS(Faturas!V:V,Faturas!U:U,"Consumo*",Faturas!S:S,Energia!C32,Faturas!R:R,Energia!B32))</f>
        <v/>
      </c>
      <c r="E32" s="526" t="str">
        <f t="shared" si="5"/>
        <v/>
      </c>
      <c r="F32" s="618" t="str">
        <f t="shared" si="0"/>
        <v/>
      </c>
      <c r="G32" s="527" t="str">
        <f>IFERROR(VLOOKUP(CONCATENATE(A32,A68),BD!$H$43:$S$59,12,FALSE),"")</f>
        <v/>
      </c>
      <c r="H32" s="527" t="str">
        <f t="shared" si="1"/>
        <v/>
      </c>
      <c r="I32" s="525" t="str">
        <f>IF(A68="","",_xlfn.IFNA(VLOOKUP(CONCATENATE($B$2,A32,A68),DescontosTE[[#All],[chave]:[2021]],8,FALSE),0))</f>
        <v/>
      </c>
      <c r="K32" s="1721"/>
      <c r="L32" s="1721"/>
      <c r="M32" s="846"/>
      <c r="N32" s="846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 ca="1">SUM(V29:V31)</f>
        <v>#VALUE!</v>
      </c>
    </row>
    <row r="33" spans="1:22" ht="16.5" customHeight="1">
      <c r="A33" s="74"/>
      <c r="B33" s="526"/>
      <c r="C33" s="526"/>
      <c r="D33" s="526"/>
      <c r="E33" s="526" t="str">
        <f t="shared" si="5"/>
        <v/>
      </c>
      <c r="F33" s="618" t="str">
        <f t="shared" ref="F33:F34" si="6">IF(B33="","",I33)</f>
        <v/>
      </c>
      <c r="G33" s="527" t="str">
        <f>IFERROR(VLOOKUP(CONCATENATE(A33,A69),BD!$H$43:$S$59,12,FALSE),"")</f>
        <v/>
      </c>
      <c r="H33" s="527" t="str">
        <f t="shared" si="1"/>
        <v/>
      </c>
      <c r="I33" s="525" t="str">
        <f>IF(A69="","",_xlfn.IFNA(VLOOKUP(CONCATENATE($B$2,A33,A69),DescontosTE[[#All],[chave]:[2021]],8,FALSE),0))</f>
        <v/>
      </c>
      <c r="K33" s="847"/>
      <c r="L33" s="848"/>
      <c r="M33" s="846"/>
      <c r="N33" s="844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6"/>
      <c r="C34" s="526"/>
      <c r="D34" s="526" t="str">
        <f>IF(B34="","",SUMIFS(Faturas!V:V,Faturas!U:U,"Consumo*",Faturas!S:S,Energia!C34,Faturas!R:R,Energia!B34))</f>
        <v/>
      </c>
      <c r="E34" s="526" t="str">
        <f t="shared" si="5"/>
        <v/>
      </c>
      <c r="F34" s="618" t="str">
        <f t="shared" si="6"/>
        <v/>
      </c>
      <c r="G34" s="527" t="str">
        <f>IFERROR(VLOOKUP(CONCATENATE(A34,A70),BD!$H$43:$S$59,12,FALSE),"")</f>
        <v/>
      </c>
      <c r="H34" s="527" t="str">
        <f t="shared" si="1"/>
        <v/>
      </c>
      <c r="I34" s="525" t="str">
        <f>IF(A70="","",_xlfn.IFNA(VLOOKUP(CONCATENATE($B$2,A34,A70),DescontosTE[[#All],[chave]:[2021]],8,FALSE),0))</f>
        <v/>
      </c>
      <c r="K34" s="1028"/>
      <c r="L34" s="1028"/>
      <c r="M34" s="781"/>
      <c r="N34" s="101"/>
      <c r="O34" s="130"/>
      <c r="V34" s="142" t="e">
        <f ca="1">V32+V33</f>
        <v>#VALUE!</v>
      </c>
    </row>
    <row r="35" spans="1:22" ht="14.25" customHeight="1">
      <c r="A35" s="74"/>
      <c r="B35" s="762"/>
      <c r="C35" s="763"/>
      <c r="D35" s="764">
        <f>SUM(D28:D34)</f>
        <v>12687134.059999999</v>
      </c>
      <c r="E35" s="764">
        <f>SUM(E28:E34)</f>
        <v>12687.134059999998</v>
      </c>
      <c r="F35" s="761"/>
      <c r="G35" s="757">
        <f>IFERROR(SUMPRODUCT(G28:G34,E28:E34)/SUM(E28:E34),0)</f>
        <v>253.57000000000002</v>
      </c>
      <c r="H35" s="758">
        <f>IFERROR(SUMPRODUCT(H28:H34,E28:E34)/SUM(E28:E34),0)</f>
        <v>253.57000000000002</v>
      </c>
      <c r="I35" s="757"/>
      <c r="K35" s="101"/>
      <c r="L35" s="781"/>
      <c r="M35" s="781"/>
      <c r="N35" s="782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14.25" customHeight="1">
      <c r="A36" s="74"/>
      <c r="C36" s="68"/>
      <c r="J36" s="74"/>
      <c r="O36" s="130"/>
    </row>
    <row r="37" spans="1:22" ht="18" customHeight="1">
      <c r="A37" s="74"/>
      <c r="B37" s="914" t="s">
        <v>1215</v>
      </c>
      <c r="C37" s="69"/>
      <c r="G37" s="137"/>
      <c r="O37" s="130"/>
      <c r="V37" s="68">
        <v>59464827.420289896</v>
      </c>
    </row>
    <row r="38" spans="1:22" ht="14.25" customHeight="1">
      <c r="A38" s="74"/>
      <c r="B38" s="1348"/>
      <c r="C38" s="1349" t="s">
        <v>1216</v>
      </c>
      <c r="D38" s="1350"/>
      <c r="E38" s="1349" t="s">
        <v>62</v>
      </c>
      <c r="F38" s="1349" t="s">
        <v>61</v>
      </c>
      <c r="G38" s="1349" t="s">
        <v>1217</v>
      </c>
      <c r="H38" s="1349" t="s">
        <v>1218</v>
      </c>
      <c r="I38" s="1349" t="s">
        <v>1219</v>
      </c>
      <c r="J38" s="1349" t="s">
        <v>977</v>
      </c>
      <c r="K38" s="1349" t="s">
        <v>1220</v>
      </c>
      <c r="L38" s="1349" t="s">
        <v>1221</v>
      </c>
      <c r="M38" s="1349" t="s">
        <v>1222</v>
      </c>
      <c r="N38" s="1349" t="s">
        <v>1223</v>
      </c>
      <c r="O38" s="130"/>
      <c r="V38" s="142" t="e">
        <f ca="1">V34-V37</f>
        <v>#VALUE!</v>
      </c>
    </row>
    <row r="39" spans="1:22" ht="18" customHeight="1">
      <c r="A39" s="74"/>
      <c r="B39" s="1641" t="s">
        <v>2205</v>
      </c>
      <c r="C39" s="1641"/>
      <c r="D39" s="1641"/>
      <c r="E39" s="1642"/>
      <c r="F39" s="1643"/>
      <c r="G39" s="1644"/>
      <c r="H39" s="1645"/>
      <c r="I39" s="1642"/>
      <c r="J39" s="1649">
        <f>E35</f>
        <v>12687.134059999998</v>
      </c>
      <c r="K39" s="1646">
        <f>H28</f>
        <v>253.57</v>
      </c>
      <c r="L39" s="839">
        <f>IFERROR(J39*K39,0)</f>
        <v>3217076.5835941997</v>
      </c>
      <c r="M39" s="849">
        <f ca="1">IFERROR(J39*$N$29,0)</f>
        <v>12691.230911926335</v>
      </c>
      <c r="N39" s="839">
        <f ca="1">IFERROR(K39*M39,0)</f>
        <v>3218115.4223371609</v>
      </c>
      <c r="O39" s="136"/>
    </row>
    <row r="40" spans="1:22">
      <c r="B40" s="1641" t="s">
        <v>2206</v>
      </c>
      <c r="C40" s="1641"/>
      <c r="D40" s="1641"/>
      <c r="E40" s="1642"/>
      <c r="F40" s="1643"/>
      <c r="G40" s="1644"/>
      <c r="H40" s="1645"/>
      <c r="I40" s="1647"/>
      <c r="J40" s="1641">
        <f>I40*H40*24</f>
        <v>0</v>
      </c>
      <c r="K40" s="1646" t="str">
        <f>H29</f>
        <v/>
      </c>
      <c r="L40" s="839">
        <f>IFERROR(J40*K40,0)</f>
        <v>0</v>
      </c>
      <c r="M40" s="849">
        <f t="shared" ref="M40:M45" ca="1" si="7">IFERROR(J40*$N$29,0)</f>
        <v>0</v>
      </c>
      <c r="N40" s="839">
        <f ca="1">IFERROR(K40*M40,0)</f>
        <v>0</v>
      </c>
      <c r="V40" s="68">
        <v>7728827.6146981604</v>
      </c>
    </row>
    <row r="41" spans="1:22">
      <c r="B41" s="836"/>
      <c r="C41" s="836"/>
      <c r="D41" s="836" t="s">
        <v>138</v>
      </c>
      <c r="E41" s="1058" t="str">
        <f t="shared" ref="E41:E45" si="8">IF(B41="","",D41/1000)</f>
        <v/>
      </c>
      <c r="F41" s="837" t="str">
        <f>IF(B41="","",I41)</f>
        <v/>
      </c>
      <c r="G41" s="838" t="s">
        <v>138</v>
      </c>
      <c r="H41" s="1059">
        <v>0</v>
      </c>
      <c r="I41" s="1058">
        <v>0</v>
      </c>
      <c r="J41" s="836">
        <f>I41*H41*24</f>
        <v>0</v>
      </c>
      <c r="K41" s="1060">
        <f>IFERROR(E41*(VLOOKUP(EDATE(G41,-1),Índices!B7:D501,3,FALSE)/VLOOKUP(EDATE(F41,-1),Índices!B7:D501,3,FALSE)),0)</f>
        <v>0</v>
      </c>
      <c r="L41" s="839">
        <f t="shared" ref="L41:L45" si="9">J41*K41</f>
        <v>0</v>
      </c>
      <c r="M41" s="849">
        <f t="shared" ca="1" si="7"/>
        <v>0</v>
      </c>
      <c r="N41" s="839">
        <f t="shared" ref="N41:N45" ca="1" si="10">K41*M41</f>
        <v>0</v>
      </c>
    </row>
    <row r="42" spans="1:22">
      <c r="B42" s="836"/>
      <c r="C42" s="836"/>
      <c r="D42" s="836" t="s">
        <v>138</v>
      </c>
      <c r="E42" s="1058" t="str">
        <f t="shared" si="8"/>
        <v/>
      </c>
      <c r="F42" s="837" t="str">
        <f>IF(B42="","",I42)</f>
        <v/>
      </c>
      <c r="G42" s="838" t="s">
        <v>138</v>
      </c>
      <c r="H42" s="1059">
        <v>0</v>
      </c>
      <c r="I42" s="1058">
        <v>0</v>
      </c>
      <c r="J42" s="836">
        <f t="shared" ref="J42:J45" si="11">I42*H42*24</f>
        <v>0</v>
      </c>
      <c r="K42" s="1060">
        <f>IFERROR(E42*(VLOOKUP(EDATE(G42,-1),Índices!B8:D502,3,FALSE)/VLOOKUP(EDATE(F42,-1),Índices!B8:D502,3,FALSE)),0)</f>
        <v>0</v>
      </c>
      <c r="L42" s="839">
        <f t="shared" si="9"/>
        <v>0</v>
      </c>
      <c r="M42" s="849">
        <f t="shared" ca="1" si="7"/>
        <v>0</v>
      </c>
      <c r="N42" s="839">
        <f t="shared" ca="1" si="10"/>
        <v>0</v>
      </c>
      <c r="V42" s="142" t="e">
        <f ca="1">V38+V40</f>
        <v>#VALUE!</v>
      </c>
    </row>
    <row r="43" spans="1:22">
      <c r="B43" s="836"/>
      <c r="C43" s="836"/>
      <c r="D43" s="836" t="s">
        <v>138</v>
      </c>
      <c r="E43" s="1058" t="str">
        <f t="shared" si="8"/>
        <v/>
      </c>
      <c r="F43" s="837" t="str">
        <f>IF(B43="","",I43)</f>
        <v/>
      </c>
      <c r="G43" s="838" t="s">
        <v>138</v>
      </c>
      <c r="H43" s="1059">
        <v>0</v>
      </c>
      <c r="I43" s="1058">
        <v>0</v>
      </c>
      <c r="J43" s="836">
        <f t="shared" si="11"/>
        <v>0</v>
      </c>
      <c r="K43" s="1060">
        <f>IFERROR(E43*(VLOOKUP(EDATE(G43,-1),Índices!B9:D503,3,FALSE)/VLOOKUP(EDATE(F43,-1),Índices!B9:D503,3,FALSE)),0)</f>
        <v>0</v>
      </c>
      <c r="L43" s="839">
        <f t="shared" si="9"/>
        <v>0</v>
      </c>
      <c r="M43" s="849">
        <f t="shared" ca="1" si="7"/>
        <v>0</v>
      </c>
      <c r="N43" s="839">
        <f t="shared" ca="1" si="10"/>
        <v>0</v>
      </c>
    </row>
    <row r="44" spans="1:22">
      <c r="B44" s="836"/>
      <c r="C44" s="836"/>
      <c r="D44" s="836" t="s">
        <v>138</v>
      </c>
      <c r="E44" s="1058" t="str">
        <f t="shared" si="8"/>
        <v/>
      </c>
      <c r="F44" s="837" t="str">
        <f>IF(B44="","",I44)</f>
        <v/>
      </c>
      <c r="G44" s="838" t="s">
        <v>138</v>
      </c>
      <c r="H44" s="1059">
        <v>0</v>
      </c>
      <c r="I44" s="1058">
        <v>0</v>
      </c>
      <c r="J44" s="836">
        <f t="shared" si="11"/>
        <v>0</v>
      </c>
      <c r="K44" s="1060">
        <f>IFERROR(E44*(VLOOKUP(EDATE(G44,-1),Índices!B10:D504,3,FALSE)/VLOOKUP(EDATE(F44,-1),Índices!B10:D504,3,FALSE)),0)</f>
        <v>0</v>
      </c>
      <c r="L44" s="839">
        <f t="shared" si="9"/>
        <v>0</v>
      </c>
      <c r="M44" s="849">
        <f t="shared" ca="1" si="7"/>
        <v>0</v>
      </c>
      <c r="N44" s="839">
        <f t="shared" ca="1" si="10"/>
        <v>0</v>
      </c>
    </row>
    <row r="45" spans="1:22">
      <c r="B45" s="836"/>
      <c r="C45" s="836"/>
      <c r="D45" s="836" t="s">
        <v>138</v>
      </c>
      <c r="E45" s="1058" t="str">
        <f t="shared" si="8"/>
        <v/>
      </c>
      <c r="F45" s="837" t="str">
        <f>IF(B45="","",I45)</f>
        <v/>
      </c>
      <c r="G45" s="838" t="s">
        <v>138</v>
      </c>
      <c r="H45" s="1059">
        <v>0</v>
      </c>
      <c r="I45" s="1058">
        <v>0</v>
      </c>
      <c r="J45" s="836">
        <f t="shared" si="11"/>
        <v>0</v>
      </c>
      <c r="K45" s="1060">
        <f>IFERROR(E45*(VLOOKUP(EDATE(G45,-1),Índices!B11:D505,3,FALSE)/VLOOKUP(EDATE(F45,-1),Índices!B11:D505,3,FALSE)),0)</f>
        <v>0</v>
      </c>
      <c r="L45" s="839">
        <f t="shared" si="9"/>
        <v>0</v>
      </c>
      <c r="M45" s="849">
        <f t="shared" ca="1" si="7"/>
        <v>0</v>
      </c>
      <c r="N45" s="839">
        <f t="shared" ca="1" si="10"/>
        <v>0</v>
      </c>
    </row>
    <row r="46" spans="1:22">
      <c r="B46" s="1351" t="s">
        <v>846</v>
      </c>
      <c r="C46" s="1352"/>
      <c r="D46" s="1352"/>
      <c r="E46" s="1351"/>
      <c r="F46" s="1351"/>
      <c r="G46" s="1353"/>
      <c r="H46" s="1351"/>
      <c r="I46" s="1351"/>
      <c r="J46" s="1354">
        <f>SUM(J39:J45)</f>
        <v>12687.134059999998</v>
      </c>
      <c r="K46" s="1355">
        <f ca="1">IFERROR(SUMPRODUCT(K39:K45,M39:M45)/SUM(M39:M45),0)</f>
        <v>253.57</v>
      </c>
      <c r="L46" s="1351"/>
      <c r="M46" s="1356">
        <f ca="1">SUM(M39:M45)</f>
        <v>12691.230911926335</v>
      </c>
      <c r="N46" s="1356">
        <f ca="1">SUM(N39:N45)</f>
        <v>3218115.4223371609</v>
      </c>
    </row>
    <row r="47" spans="1:22">
      <c r="C47" s="425"/>
      <c r="D47" s="425"/>
      <c r="E47" s="425"/>
    </row>
    <row r="48" spans="1:22" ht="15.75">
      <c r="B48" s="1357" t="s">
        <v>1224</v>
      </c>
      <c r="C48" s="1358" t="s">
        <v>1225</v>
      </c>
      <c r="D48" s="1359"/>
      <c r="E48" s="1360" t="s">
        <v>1226</v>
      </c>
      <c r="F48" s="1360" t="s">
        <v>1227</v>
      </c>
      <c r="H48" s="1361" t="s">
        <v>1228</v>
      </c>
      <c r="I48" s="1362" t="s">
        <v>42</v>
      </c>
      <c r="J48" s="1363" t="s">
        <v>43</v>
      </c>
      <c r="K48" s="1364" t="s">
        <v>1195</v>
      </c>
    </row>
    <row r="49" spans="1:11" ht="15.75">
      <c r="B49" s="78" t="s">
        <v>1229</v>
      </c>
      <c r="C49" s="856">
        <f>IF(ISERROR(VLOOKUP("Angra",AngraCota[],5,FALSE)),0,VLOOKUP("Angra",AngraCota[],5,FALSE))</f>
        <v>0</v>
      </c>
      <c r="D49" s="857">
        <f t="shared" ref="D49:D51" si="12">E49</f>
        <v>0</v>
      </c>
      <c r="E49" s="836">
        <f>IFERROR(VLOOKUP("Angra",AngraCota[],4,FALSE),0)</f>
        <v>0</v>
      </c>
      <c r="F49" s="108">
        <f>C49*E49</f>
        <v>0</v>
      </c>
      <c r="H49" s="1365" t="s">
        <v>1230</v>
      </c>
      <c r="I49" s="1366" cm="1">
        <f t="array" ref="I49">GSFRH[GSF previsto]</f>
        <v>0.88508330000000002</v>
      </c>
      <c r="J49" s="1367" cm="1">
        <f t="array" ref="J49">GSFRH[PLD]</f>
        <v>169.95</v>
      </c>
      <c r="K49" s="1368">
        <f>(J49*(1-I49)*(C50+C51))</f>
        <v>0</v>
      </c>
    </row>
    <row r="50" spans="1:11" ht="15.75">
      <c r="B50" s="78" t="s">
        <v>1230</v>
      </c>
      <c r="C50" s="856">
        <f>BD!AE22</f>
        <v>0</v>
      </c>
      <c r="D50" s="857">
        <f t="shared" si="12"/>
        <v>0</v>
      </c>
      <c r="E50" s="836">
        <f>BD!AG22</f>
        <v>0</v>
      </c>
      <c r="F50" s="108">
        <f>C50*E50</f>
        <v>0</v>
      </c>
      <c r="H50" s="850" t="s">
        <v>1231</v>
      </c>
      <c r="I50" s="851">
        <f>I49</f>
        <v>0.88508330000000002</v>
      </c>
      <c r="J50" s="852">
        <f>J49</f>
        <v>169.95</v>
      </c>
      <c r="K50" s="853"/>
    </row>
    <row r="51" spans="1:11" ht="15.75">
      <c r="B51" s="78" t="s">
        <v>1230</v>
      </c>
      <c r="C51" s="856">
        <f>BD!AE23</f>
        <v>0</v>
      </c>
      <c r="D51" s="857">
        <f t="shared" si="12"/>
        <v>0</v>
      </c>
      <c r="E51" s="836">
        <f>BD!AG23</f>
        <v>0</v>
      </c>
      <c r="F51" s="108">
        <f>C51*E51</f>
        <v>0</v>
      </c>
      <c r="H51" s="854" t="s">
        <v>1232</v>
      </c>
      <c r="I51" s="851">
        <f>I50</f>
        <v>0.88508330000000002</v>
      </c>
      <c r="J51" s="852">
        <f>J50</f>
        <v>169.95</v>
      </c>
      <c r="K51" s="853">
        <f>(J51*(1-I51)*I54*K54*365*24)</f>
        <v>0</v>
      </c>
    </row>
    <row r="52" spans="1:11" ht="15.75">
      <c r="B52" s="840"/>
      <c r="C52" s="840">
        <f>SUM(C49:C51)</f>
        <v>0</v>
      </c>
      <c r="D52" s="840"/>
      <c r="E52" s="840"/>
      <c r="F52" s="840">
        <f>SUM(F49:F51)</f>
        <v>0</v>
      </c>
      <c r="H52" s="832" t="s">
        <v>1233</v>
      </c>
      <c r="I52" s="1369"/>
      <c r="J52" s="1370"/>
      <c r="K52" s="1371">
        <f>SUM(K49:K51)</f>
        <v>0</v>
      </c>
    </row>
    <row r="53" spans="1:11" ht="15.75">
      <c r="H53" s="1722" t="s">
        <v>45</v>
      </c>
      <c r="I53" s="1722"/>
      <c r="J53" s="1372"/>
      <c r="K53" s="1372" t="s">
        <v>44</v>
      </c>
    </row>
    <row r="54" spans="1:11" ht="15.75">
      <c r="C54" s="124">
        <f ca="1">+C50*N29</f>
        <v>0</v>
      </c>
      <c r="H54" s="833" t="str">
        <f>CAPA!C9</f>
        <v>Cercos</v>
      </c>
      <c r="I54" s="858" cm="1">
        <f t="array" ref="I54">GSFRH[Fator de rateio]</f>
        <v>0</v>
      </c>
      <c r="J54" s="1008">
        <f>J49</f>
        <v>169.95</v>
      </c>
      <c r="K54" s="834" cm="1">
        <f t="array" ref="K54">GSFRH[MWm repactuado]</f>
        <v>14739.74</v>
      </c>
    </row>
    <row r="55" spans="1:11" ht="15">
      <c r="B55" s="1357" t="s">
        <v>1234</v>
      </c>
      <c r="C55" s="1358" t="s">
        <v>1225</v>
      </c>
      <c r="D55" s="1359"/>
      <c r="E55" s="1360" t="s">
        <v>1226</v>
      </c>
      <c r="F55" s="1360" t="s">
        <v>1227</v>
      </c>
    </row>
    <row r="56" spans="1:11">
      <c r="B56" s="78" t="s">
        <v>1235</v>
      </c>
      <c r="C56" s="856">
        <f>CAPA!D58</f>
        <v>0</v>
      </c>
      <c r="D56" s="857">
        <f t="shared" ref="D56" si="13">E56</f>
        <v>0</v>
      </c>
      <c r="E56" s="836">
        <v>0</v>
      </c>
      <c r="F56" s="108">
        <f>C56*E56</f>
        <v>0</v>
      </c>
    </row>
    <row r="57" spans="1:11">
      <c r="B57" s="78"/>
      <c r="C57" s="856"/>
      <c r="D57" s="857"/>
      <c r="E57" s="836"/>
      <c r="F57" s="108"/>
      <c r="J57" s="142"/>
    </row>
    <row r="58" spans="1:11">
      <c r="B58" s="840"/>
      <c r="C58" s="840">
        <f>SUM(C56:C57)</f>
        <v>0</v>
      </c>
      <c r="D58" s="840"/>
      <c r="E58" s="840"/>
      <c r="F58" s="840">
        <f>SUM(F56:F57)</f>
        <v>0</v>
      </c>
      <c r="J58" s="142"/>
    </row>
    <row r="63" spans="1:11">
      <c r="A63" s="68" t="s">
        <v>1236</v>
      </c>
    </row>
    <row r="64" spans="1:11">
      <c r="A64" s="68" t="str">
        <f>TRIM(LEFT(C28,3))</f>
        <v>A4</v>
      </c>
    </row>
    <row r="65" spans="1:5">
      <c r="A65" s="68" t="str">
        <f t="shared" ref="A65:A70" si="14">TRIM(LEFT(C29,3))</f>
        <v/>
      </c>
      <c r="D65" s="68" t="s">
        <v>2275</v>
      </c>
    </row>
    <row r="66" spans="1:5">
      <c r="A66" s="68" t="str">
        <f t="shared" si="14"/>
        <v/>
      </c>
      <c r="C66" s="1666">
        <v>44317</v>
      </c>
      <c r="D66" s="896">
        <v>972652</v>
      </c>
    </row>
    <row r="67" spans="1:5">
      <c r="A67" s="68" t="str">
        <f t="shared" si="14"/>
        <v/>
      </c>
      <c r="C67" s="1666">
        <v>44348</v>
      </c>
      <c r="D67" s="896">
        <v>927860</v>
      </c>
    </row>
    <row r="68" spans="1:5">
      <c r="A68" s="68" t="str">
        <f t="shared" si="14"/>
        <v/>
      </c>
      <c r="C68" s="1666">
        <v>44378</v>
      </c>
      <c r="D68" s="896">
        <v>933504</v>
      </c>
    </row>
    <row r="69" spans="1:5">
      <c r="A69" s="68" t="str">
        <f t="shared" si="14"/>
        <v/>
      </c>
      <c r="C69" s="1666">
        <v>44409</v>
      </c>
      <c r="D69" s="896">
        <v>939358</v>
      </c>
    </row>
    <row r="70" spans="1:5">
      <c r="A70" s="68" t="str">
        <f t="shared" si="14"/>
        <v/>
      </c>
      <c r="C70" s="1666">
        <v>44440</v>
      </c>
      <c r="D70" s="896">
        <v>928213</v>
      </c>
    </row>
    <row r="71" spans="1:5">
      <c r="C71" s="1666">
        <v>44470</v>
      </c>
      <c r="D71" s="68">
        <v>1125488</v>
      </c>
    </row>
    <row r="72" spans="1:5">
      <c r="C72" s="1666">
        <v>44501</v>
      </c>
      <c r="D72" s="68">
        <v>1079657</v>
      </c>
    </row>
    <row r="73" spans="1:5">
      <c r="C73" s="1666">
        <v>44531</v>
      </c>
      <c r="D73" s="68">
        <v>1158422</v>
      </c>
    </row>
    <row r="74" spans="1:5">
      <c r="C74" s="1666">
        <v>44562</v>
      </c>
      <c r="D74" s="68">
        <v>1121249</v>
      </c>
    </row>
    <row r="75" spans="1:5">
      <c r="C75" s="1666">
        <v>44593</v>
      </c>
      <c r="D75" s="68">
        <v>1040613</v>
      </c>
    </row>
    <row r="76" spans="1:5">
      <c r="C76" s="1666">
        <v>44621</v>
      </c>
      <c r="D76" s="68">
        <v>1166929</v>
      </c>
    </row>
    <row r="77" spans="1:5">
      <c r="C77" s="1666">
        <v>44652</v>
      </c>
      <c r="D77" s="68">
        <v>1078569</v>
      </c>
    </row>
    <row r="78" spans="1:5">
      <c r="D78" s="912">
        <f>SUM(D66:D77)</f>
        <v>12472514</v>
      </c>
    </row>
    <row r="79" spans="1:5">
      <c r="D79" s="142">
        <f>D35-D78</f>
        <v>214620.05999999866</v>
      </c>
      <c r="E79" s="912">
        <f>(D79/1000)*G28</f>
        <v>54421.208614199655</v>
      </c>
    </row>
  </sheetData>
  <mergeCells count="2">
    <mergeCell ref="K32:L32"/>
    <mergeCell ref="H53:I53"/>
  </mergeCells>
  <conditionalFormatting sqref="L30:M30">
    <cfRule type="colorScale" priority="32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13:M21">
    <cfRule type="cellIs" dxfId="50" priority="15" operator="lessThan">
      <formula>0</formula>
    </cfRule>
  </conditionalFormatting>
  <conditionalFormatting sqref="I48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48:K48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48:J48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 L26 N48:N1048576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19 L26:N26 T4:U6 T2:AC3 V4:AC11 S20:AB20 T12:AA19 O48:O73 O74:AC1048576 P32:AC33 P34:U34 W34:AC34 P35:AC73 P22:AA28 O23:O29 S21:Z21 N48:N1048576 T29:AA29 P29:R31 T30:AC31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M30 L26:M26 O49:O1048576 N48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T12:AA19 L26:N26 V4:AC11 T4:U6 S19 S20:AB20 T2:AC3 O48:O73 O74:AC1048576 P32:AC33 P34:U34 W34:AC34 P35:AC73 P22:AA28 O23:O29 S21:Z21 N48:N1048576 T29:AA29 P29:R31 T30:AC31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20:AB20 L26:N26 T2:AC11 O48:O73 O74:AC1048576 P32:AC33 P34:U34 W34:AC34 P35:AC73 P22:AA28 O23:O29 S15:AA19 S21:Z21 T12:AA14 N48:N1048576 T29:AA29 P29:R31 T30:AC31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15:AA19 L26:N26 T2:AC11 O48:O73 O74:AC1048576 P32:AC33 P34:U34 W34:AC34 P35:AC73 P22:AA28 O23:O29 S21:Z21 S20:AB20 T12:AA14 N48:N1048576 T29:AA29 P29:R31 T30:AC31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topLeftCell="A13" workbookViewId="0"/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73" t="s">
        <v>704</v>
      </c>
      <c r="C1" s="1158">
        <f>Resultado!C1</f>
        <v>0</v>
      </c>
      <c r="D1" s="1374"/>
      <c r="E1" s="1375"/>
      <c r="F1" s="1376"/>
      <c r="G1" s="1271" t="s">
        <v>952</v>
      </c>
      <c r="H1" s="1377">
        <f ca="1">LnkTXTIRTEco</f>
        <v>0.21260000000000001</v>
      </c>
    </row>
    <row r="2" spans="2:27">
      <c r="B2" s="138" t="str">
        <f>CAPA!C9</f>
        <v>Cercos</v>
      </c>
      <c r="C2" s="70"/>
      <c r="D2" s="70"/>
      <c r="G2" s="121" t="s">
        <v>956</v>
      </c>
      <c r="H2" s="148">
        <f ca="1">LnkTXTIRTTotal</f>
        <v>8.3900000000000002E-2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78" t="s">
        <v>1237</v>
      </c>
      <c r="C6" s="1378"/>
      <c r="D6" s="1378"/>
      <c r="E6" s="1378"/>
      <c r="F6" s="1378"/>
      <c r="G6" s="1378"/>
      <c r="H6" s="1378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79" t="s">
        <v>855</v>
      </c>
      <c r="C8" s="1379" t="s">
        <v>1238</v>
      </c>
      <c r="D8" s="1379" t="s">
        <v>1239</v>
      </c>
      <c r="E8" s="1379" t="s">
        <v>1240</v>
      </c>
      <c r="H8" s="152"/>
    </row>
    <row r="9" spans="2:27">
      <c r="B9" s="158" t="s">
        <v>972</v>
      </c>
      <c r="C9" s="181">
        <f>SUMIFS($M$18:$M$63,$D$18:$D$63,"Ponta")</f>
        <v>0</v>
      </c>
      <c r="D9" s="181">
        <f>SUMIFS($J$18:$J$63,$D$18:$D$63,"Ponta")</f>
        <v>0</v>
      </c>
      <c r="E9" s="181">
        <f>SUMIFS($L$18:$L$63,$D$18:$D$63,"Ponta")</f>
        <v>0</v>
      </c>
    </row>
    <row r="10" spans="2:27">
      <c r="B10" s="1380" t="s">
        <v>1241</v>
      </c>
      <c r="C10" s="1381">
        <f>SUMIFS($M$18:$M$63,$D$18:$D$63,"Fora Ponta")</f>
        <v>0</v>
      </c>
      <c r="D10" s="1381">
        <f>SUMIFS($J$18:$J$63,$D$18:$D$63,"Fora Ponta")</f>
        <v>0</v>
      </c>
      <c r="E10" s="1381">
        <f>SUMIFS($L$18:$L$63,$D$18:$D$63,"Fora Ponta")</f>
        <v>0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82" t="s">
        <v>1242</v>
      </c>
      <c r="G14" s="1383"/>
      <c r="H14" s="1383"/>
      <c r="I14" s="1383"/>
      <c r="J14" s="1383"/>
      <c r="K14" s="1383"/>
      <c r="L14" s="1383"/>
      <c r="M14" s="1383"/>
      <c r="N14" s="1383"/>
      <c r="O14" s="1383"/>
      <c r="P14" s="1383"/>
      <c r="Q14" s="1383"/>
      <c r="R14" s="1384"/>
    </row>
    <row r="15" spans="2:27">
      <c r="B15" s="1728" t="s">
        <v>1243</v>
      </c>
      <c r="C15" s="1729" t="s">
        <v>1244</v>
      </c>
      <c r="D15" s="1730" t="s">
        <v>78</v>
      </c>
      <c r="E15" s="1731" t="s">
        <v>1245</v>
      </c>
      <c r="F15" s="1731"/>
      <c r="G15" s="1731"/>
      <c r="H15" s="1732"/>
      <c r="I15" s="1733" t="s">
        <v>1246</v>
      </c>
      <c r="J15" s="1734"/>
      <c r="K15" s="1734"/>
      <c r="L15" s="1734"/>
      <c r="M15" s="1735" t="s">
        <v>1247</v>
      </c>
      <c r="N15" s="1736"/>
      <c r="O15" s="1736"/>
      <c r="P15" s="1736"/>
      <c r="Q15" s="1736"/>
      <c r="R15" s="1736"/>
      <c r="S15" s="1736"/>
      <c r="T15" s="1736"/>
      <c r="U15" s="1736"/>
      <c r="V15" s="1736"/>
      <c r="W15" s="1736"/>
      <c r="X15" s="1736"/>
      <c r="Y15" s="1736"/>
      <c r="Z15" s="65"/>
      <c r="AA15" s="387"/>
    </row>
    <row r="16" spans="2:27">
      <c r="B16" s="1728"/>
      <c r="C16" s="1729"/>
      <c r="D16" s="1730"/>
      <c r="E16" s="1739" t="s">
        <v>123</v>
      </c>
      <c r="F16" s="1740"/>
      <c r="G16" s="1740" t="s">
        <v>1248</v>
      </c>
      <c r="H16" s="1741"/>
      <c r="I16" s="1742" t="s">
        <v>123</v>
      </c>
      <c r="J16" s="1743"/>
      <c r="K16" s="1743" t="s">
        <v>1248</v>
      </c>
      <c r="L16" s="1744"/>
      <c r="M16" s="1737"/>
      <c r="N16" s="1738"/>
      <c r="O16" s="1738"/>
      <c r="P16" s="1738"/>
      <c r="Q16" s="1738"/>
      <c r="R16" s="1738"/>
      <c r="S16" s="1738"/>
      <c r="T16" s="1738"/>
      <c r="U16" s="1738"/>
      <c r="V16" s="1738"/>
      <c r="W16" s="1738"/>
      <c r="X16" s="1738"/>
      <c r="Y16" s="1738"/>
      <c r="Z16" s="65"/>
      <c r="AA16" s="387"/>
    </row>
    <row r="17" spans="2:27">
      <c r="B17" s="1728"/>
      <c r="C17" s="1729"/>
      <c r="D17" s="1730"/>
      <c r="E17" s="388" t="s">
        <v>771</v>
      </c>
      <c r="F17" s="389" t="s">
        <v>772</v>
      </c>
      <c r="G17" s="389" t="s">
        <v>771</v>
      </c>
      <c r="H17" s="390" t="s">
        <v>772</v>
      </c>
      <c r="I17" s="391" t="s">
        <v>771</v>
      </c>
      <c r="J17" s="392" t="s">
        <v>772</v>
      </c>
      <c r="K17" s="392" t="s">
        <v>771</v>
      </c>
      <c r="L17" s="392" t="s">
        <v>772</v>
      </c>
      <c r="M17" s="393" t="s">
        <v>846</v>
      </c>
      <c r="N17" s="393">
        <f>SAS_RA0_DataInicio</f>
        <v>44317</v>
      </c>
      <c r="O17" s="393">
        <f>EDATE(N17,1)</f>
        <v>44348</v>
      </c>
      <c r="P17" s="393">
        <f t="shared" ref="P17:Y17" si="0">EDATE(O17,1)</f>
        <v>44378</v>
      </c>
      <c r="Q17" s="393">
        <f t="shared" si="0"/>
        <v>44409</v>
      </c>
      <c r="R17" s="393">
        <f t="shared" si="0"/>
        <v>44440</v>
      </c>
      <c r="S17" s="393">
        <f t="shared" si="0"/>
        <v>44470</v>
      </c>
      <c r="T17" s="393">
        <f t="shared" si="0"/>
        <v>44501</v>
      </c>
      <c r="U17" s="393">
        <f t="shared" si="0"/>
        <v>44531</v>
      </c>
      <c r="V17" s="393">
        <f t="shared" si="0"/>
        <v>44562</v>
      </c>
      <c r="W17" s="393">
        <f t="shared" si="0"/>
        <v>44593</v>
      </c>
      <c r="X17" s="393">
        <f t="shared" si="0"/>
        <v>44621</v>
      </c>
      <c r="Y17" s="393">
        <f t="shared" si="0"/>
        <v>44652</v>
      </c>
      <c r="Z17" s="65"/>
      <c r="AA17" s="329" t="s">
        <v>859</v>
      </c>
    </row>
    <row r="18" spans="2:27" hidden="1">
      <c r="B18" s="1385">
        <f>RBBD!B3</f>
        <v>0</v>
      </c>
      <c r="C18" s="1385">
        <f>RBBD!C3</f>
        <v>0</v>
      </c>
      <c r="D18" s="1385">
        <f>RBBD!D3</f>
        <v>0</v>
      </c>
      <c r="E18" s="1385">
        <f>RBBD!E3</f>
        <v>0</v>
      </c>
      <c r="F18" s="1385">
        <f>RBBD!F3</f>
        <v>0</v>
      </c>
      <c r="G18" s="1385">
        <f>RBBD!G3</f>
        <v>0</v>
      </c>
      <c r="H18" s="1385">
        <f>RBBD!H3</f>
        <v>0</v>
      </c>
      <c r="I18" s="1385">
        <f>E18*$M18</f>
        <v>0</v>
      </c>
      <c r="J18" s="1385">
        <f>F18*$M18</f>
        <v>0</v>
      </c>
      <c r="K18" s="1385">
        <f>G18*$M18</f>
        <v>0</v>
      </c>
      <c r="L18" s="1385">
        <f>H18*$M18</f>
        <v>0</v>
      </c>
      <c r="M18" s="1385">
        <f>SUM(N18:Y18)</f>
        <v>0</v>
      </c>
      <c r="N18" s="1385">
        <f>RBBD!I3</f>
        <v>0</v>
      </c>
      <c r="O18" s="1385">
        <f>RBBD!J3</f>
        <v>0</v>
      </c>
      <c r="P18" s="1385">
        <f>RBBD!K3</f>
        <v>0</v>
      </c>
      <c r="Q18" s="1385">
        <f>RBBD!L3</f>
        <v>0</v>
      </c>
      <c r="R18" s="1385">
        <f>RBBD!M3</f>
        <v>0</v>
      </c>
      <c r="S18" s="1385">
        <f>RBBD!N3</f>
        <v>0</v>
      </c>
      <c r="T18" s="1385">
        <f>RBBD!O3</f>
        <v>0</v>
      </c>
      <c r="U18" s="1385">
        <f>RBBD!P3</f>
        <v>0</v>
      </c>
      <c r="V18" s="1385">
        <f>RBBD!Q3</f>
        <v>0</v>
      </c>
      <c r="W18" s="1385">
        <f>RBBD!R3</f>
        <v>0</v>
      </c>
      <c r="X18" s="1385">
        <f>RBBD!S3</f>
        <v>0</v>
      </c>
      <c r="Y18" s="1385">
        <f>RBBD!T3</f>
        <v>0</v>
      </c>
      <c r="Z18" s="65"/>
      <c r="AA18" s="329">
        <f t="shared" ref="AA18:AA23" si="1">IF(B18=0,0,1)</f>
        <v>0</v>
      </c>
    </row>
    <row r="19" spans="2:27" hidden="1">
      <c r="B19" s="1385">
        <f>RBBD!B4</f>
        <v>0</v>
      </c>
      <c r="C19" s="1385">
        <f>RBBD!C4</f>
        <v>0</v>
      </c>
      <c r="D19" s="1385">
        <f>RBBD!D4</f>
        <v>0</v>
      </c>
      <c r="E19" s="1385">
        <f>RBBD!E4</f>
        <v>0</v>
      </c>
      <c r="F19" s="1385">
        <f>RBBD!F4</f>
        <v>0</v>
      </c>
      <c r="G19" s="1385">
        <f>RBBD!G4</f>
        <v>0</v>
      </c>
      <c r="H19" s="1385">
        <f>RBBD!H4</f>
        <v>0</v>
      </c>
      <c r="I19" s="1385">
        <f t="shared" ref="I19:L60" si="2">E19*$M19</f>
        <v>0</v>
      </c>
      <c r="J19" s="1385">
        <f t="shared" si="2"/>
        <v>0</v>
      </c>
      <c r="K19" s="1385">
        <f t="shared" si="2"/>
        <v>0</v>
      </c>
      <c r="L19" s="1385">
        <f t="shared" si="2"/>
        <v>0</v>
      </c>
      <c r="M19" s="1385">
        <f t="shared" ref="M19:M60" si="3">SUM(N19:Y19)</f>
        <v>0</v>
      </c>
      <c r="N19" s="1385">
        <f>RBBD!I4</f>
        <v>0</v>
      </c>
      <c r="O19" s="1385">
        <f>RBBD!J4</f>
        <v>0</v>
      </c>
      <c r="P19" s="1385">
        <f>RBBD!K4</f>
        <v>0</v>
      </c>
      <c r="Q19" s="1385">
        <f>RBBD!L4</f>
        <v>0</v>
      </c>
      <c r="R19" s="1385">
        <f>RBBD!M4</f>
        <v>0</v>
      </c>
      <c r="S19" s="1385">
        <f>RBBD!N4</f>
        <v>0</v>
      </c>
      <c r="T19" s="1385">
        <f>RBBD!O4</f>
        <v>0</v>
      </c>
      <c r="U19" s="1385">
        <f>RBBD!P4</f>
        <v>0</v>
      </c>
      <c r="V19" s="1385">
        <f>RBBD!Q4</f>
        <v>0</v>
      </c>
      <c r="W19" s="1385">
        <f>RBBD!R4</f>
        <v>0</v>
      </c>
      <c r="X19" s="1385">
        <f>RBBD!S4</f>
        <v>0</v>
      </c>
      <c r="Y19" s="1385">
        <f>RBBD!T4</f>
        <v>0</v>
      </c>
      <c r="Z19" s="65"/>
      <c r="AA19" s="329">
        <f t="shared" si="1"/>
        <v>0</v>
      </c>
    </row>
    <row r="20" spans="2:27" hidden="1">
      <c r="B20" s="1385">
        <f>RBBD!B5</f>
        <v>0</v>
      </c>
      <c r="C20" s="1385">
        <f>RBBD!C5</f>
        <v>0</v>
      </c>
      <c r="D20" s="1385">
        <f>RBBD!D5</f>
        <v>0</v>
      </c>
      <c r="E20" s="1385">
        <f>RBBD!E5</f>
        <v>0</v>
      </c>
      <c r="F20" s="1385">
        <f>RBBD!F5</f>
        <v>0</v>
      </c>
      <c r="G20" s="1385">
        <f>RBBD!G5</f>
        <v>0</v>
      </c>
      <c r="H20" s="1385">
        <f>RBBD!H5</f>
        <v>0</v>
      </c>
      <c r="I20" s="1385">
        <f t="shared" si="2"/>
        <v>0</v>
      </c>
      <c r="J20" s="1385">
        <f t="shared" si="2"/>
        <v>0</v>
      </c>
      <c r="K20" s="1385">
        <f t="shared" si="2"/>
        <v>0</v>
      </c>
      <c r="L20" s="1385">
        <f t="shared" si="2"/>
        <v>0</v>
      </c>
      <c r="M20" s="1385">
        <f t="shared" si="3"/>
        <v>0</v>
      </c>
      <c r="N20" s="1385">
        <f>RBBD!I5</f>
        <v>0</v>
      </c>
      <c r="O20" s="1385">
        <f>RBBD!J5</f>
        <v>0</v>
      </c>
      <c r="P20" s="1385">
        <f>RBBD!K5</f>
        <v>0</v>
      </c>
      <c r="Q20" s="1385">
        <f>RBBD!L5</f>
        <v>0</v>
      </c>
      <c r="R20" s="1385">
        <f>RBBD!M5</f>
        <v>0</v>
      </c>
      <c r="S20" s="1385">
        <f>RBBD!N5</f>
        <v>0</v>
      </c>
      <c r="T20" s="1385">
        <f>RBBD!O5</f>
        <v>0</v>
      </c>
      <c r="U20" s="1385">
        <f>RBBD!P5</f>
        <v>0</v>
      </c>
      <c r="V20" s="1385">
        <f>RBBD!Q5</f>
        <v>0</v>
      </c>
      <c r="W20" s="1385">
        <f>RBBD!R5</f>
        <v>0</v>
      </c>
      <c r="X20" s="1385">
        <f>RBBD!S5</f>
        <v>0</v>
      </c>
      <c r="Y20" s="1385">
        <f>RBBD!T5</f>
        <v>0</v>
      </c>
      <c r="Z20" s="65"/>
      <c r="AA20" s="329">
        <f t="shared" si="1"/>
        <v>0</v>
      </c>
    </row>
    <row r="21" spans="2:27" hidden="1">
      <c r="B21" s="1385">
        <f>RBBD!B6</f>
        <v>0</v>
      </c>
      <c r="C21" s="1385">
        <f>RBBD!C6</f>
        <v>0</v>
      </c>
      <c r="D21" s="1385">
        <f>RBBD!D6</f>
        <v>0</v>
      </c>
      <c r="E21" s="1385">
        <f>RBBD!E6</f>
        <v>0</v>
      </c>
      <c r="F21" s="1385">
        <f>RBBD!F6</f>
        <v>0</v>
      </c>
      <c r="G21" s="1385">
        <f>RBBD!G6</f>
        <v>0</v>
      </c>
      <c r="H21" s="1385">
        <f>RBBD!H6</f>
        <v>0</v>
      </c>
      <c r="I21" s="1385">
        <f t="shared" si="2"/>
        <v>0</v>
      </c>
      <c r="J21" s="1385">
        <f t="shared" si="2"/>
        <v>0</v>
      </c>
      <c r="K21" s="1385">
        <f t="shared" si="2"/>
        <v>0</v>
      </c>
      <c r="L21" s="1385">
        <f t="shared" si="2"/>
        <v>0</v>
      </c>
      <c r="M21" s="1385">
        <f t="shared" si="3"/>
        <v>0</v>
      </c>
      <c r="N21" s="1385">
        <f>RBBD!I6</f>
        <v>0</v>
      </c>
      <c r="O21" s="1385">
        <f>RBBD!J6</f>
        <v>0</v>
      </c>
      <c r="P21" s="1385">
        <f>RBBD!K6</f>
        <v>0</v>
      </c>
      <c r="Q21" s="1385">
        <f>RBBD!L6</f>
        <v>0</v>
      </c>
      <c r="R21" s="1385">
        <f>RBBD!M6</f>
        <v>0</v>
      </c>
      <c r="S21" s="1385">
        <f>RBBD!N6</f>
        <v>0</v>
      </c>
      <c r="T21" s="1385">
        <f>RBBD!O6</f>
        <v>0</v>
      </c>
      <c r="U21" s="1385">
        <f>RBBD!P6</f>
        <v>0</v>
      </c>
      <c r="V21" s="1385">
        <f>RBBD!Q6</f>
        <v>0</v>
      </c>
      <c r="W21" s="1385">
        <f>RBBD!R6</f>
        <v>0</v>
      </c>
      <c r="X21" s="1385">
        <f>RBBD!S6</f>
        <v>0</v>
      </c>
      <c r="Y21" s="1385">
        <f>RBBD!T6</f>
        <v>0</v>
      </c>
      <c r="Z21" s="65"/>
      <c r="AA21" s="329">
        <f t="shared" si="1"/>
        <v>0</v>
      </c>
    </row>
    <row r="22" spans="2:27" hidden="1">
      <c r="B22" s="1385">
        <f>RBBD!B7</f>
        <v>0</v>
      </c>
      <c r="C22" s="1385">
        <f>RBBD!C7</f>
        <v>0</v>
      </c>
      <c r="D22" s="1385">
        <f>RBBD!D7</f>
        <v>0</v>
      </c>
      <c r="E22" s="1385">
        <f>RBBD!E7</f>
        <v>0</v>
      </c>
      <c r="F22" s="1385">
        <f>RBBD!F7</f>
        <v>0</v>
      </c>
      <c r="G22" s="1385">
        <f>RBBD!G7</f>
        <v>0</v>
      </c>
      <c r="H22" s="1385">
        <f>RBBD!H7</f>
        <v>0</v>
      </c>
      <c r="I22" s="1385">
        <f t="shared" si="2"/>
        <v>0</v>
      </c>
      <c r="J22" s="1385">
        <f t="shared" si="2"/>
        <v>0</v>
      </c>
      <c r="K22" s="1385">
        <f t="shared" si="2"/>
        <v>0</v>
      </c>
      <c r="L22" s="1385">
        <f t="shared" si="2"/>
        <v>0</v>
      </c>
      <c r="M22" s="1385">
        <f t="shared" si="3"/>
        <v>0</v>
      </c>
      <c r="N22" s="1385">
        <f>RBBD!I7</f>
        <v>0</v>
      </c>
      <c r="O22" s="1385">
        <f>RBBD!J7</f>
        <v>0</v>
      </c>
      <c r="P22" s="1385">
        <f>RBBD!K7</f>
        <v>0</v>
      </c>
      <c r="Q22" s="1385">
        <f>RBBD!L7</f>
        <v>0</v>
      </c>
      <c r="R22" s="1385">
        <f>RBBD!M7</f>
        <v>0</v>
      </c>
      <c r="S22" s="1385">
        <f>RBBD!N7</f>
        <v>0</v>
      </c>
      <c r="T22" s="1385">
        <f>RBBD!O7</f>
        <v>0</v>
      </c>
      <c r="U22" s="1385">
        <f>RBBD!P7</f>
        <v>0</v>
      </c>
      <c r="V22" s="1385">
        <f>RBBD!Q7</f>
        <v>0</v>
      </c>
      <c r="W22" s="1385">
        <f>RBBD!R7</f>
        <v>0</v>
      </c>
      <c r="X22" s="1385">
        <f>RBBD!S7</f>
        <v>0</v>
      </c>
      <c r="Y22" s="1385">
        <f>RBBD!T7</f>
        <v>0</v>
      </c>
      <c r="Z22" s="65"/>
      <c r="AA22" s="329">
        <f t="shared" si="1"/>
        <v>0</v>
      </c>
    </row>
    <row r="23" spans="2:27" hidden="1">
      <c r="B23" s="1385">
        <f>RBBD!B8</f>
        <v>0</v>
      </c>
      <c r="C23" s="1385">
        <f>RBBD!C8</f>
        <v>0</v>
      </c>
      <c r="D23" s="1385">
        <f>RBBD!D8</f>
        <v>0</v>
      </c>
      <c r="E23" s="1385">
        <f>RBBD!E8</f>
        <v>0</v>
      </c>
      <c r="F23" s="1385">
        <f>RBBD!F8</f>
        <v>0</v>
      </c>
      <c r="G23" s="1385">
        <f>RBBD!G8</f>
        <v>0</v>
      </c>
      <c r="H23" s="1385">
        <f>RBBD!H8</f>
        <v>0</v>
      </c>
      <c r="I23" s="1385">
        <f t="shared" si="2"/>
        <v>0</v>
      </c>
      <c r="J23" s="1385">
        <f t="shared" si="2"/>
        <v>0</v>
      </c>
      <c r="K23" s="1385">
        <f t="shared" si="2"/>
        <v>0</v>
      </c>
      <c r="L23" s="1385">
        <f t="shared" si="2"/>
        <v>0</v>
      </c>
      <c r="M23" s="1385">
        <f t="shared" si="3"/>
        <v>0</v>
      </c>
      <c r="N23" s="1385">
        <f>RBBD!I8</f>
        <v>0</v>
      </c>
      <c r="O23" s="1385">
        <f>RBBD!J8</f>
        <v>0</v>
      </c>
      <c r="P23" s="1385">
        <f>RBBD!K8</f>
        <v>0</v>
      </c>
      <c r="Q23" s="1385">
        <f>RBBD!L8</f>
        <v>0</v>
      </c>
      <c r="R23" s="1385">
        <f>RBBD!M8</f>
        <v>0</v>
      </c>
      <c r="S23" s="1385">
        <f>RBBD!N8</f>
        <v>0</v>
      </c>
      <c r="T23" s="1385">
        <f>RBBD!O8</f>
        <v>0</v>
      </c>
      <c r="U23" s="1385">
        <f>RBBD!P8</f>
        <v>0</v>
      </c>
      <c r="V23" s="1385">
        <f>RBBD!Q8</f>
        <v>0</v>
      </c>
      <c r="W23" s="1385">
        <f>RBBD!R8</f>
        <v>0</v>
      </c>
      <c r="X23" s="1385">
        <f>RBBD!S8</f>
        <v>0</v>
      </c>
      <c r="Y23" s="1385">
        <f>RBBD!T8</f>
        <v>0</v>
      </c>
      <c r="Z23" s="65"/>
      <c r="AA23" s="329">
        <f t="shared" si="1"/>
        <v>0</v>
      </c>
    </row>
    <row r="24" spans="2:27" hidden="1">
      <c r="B24" s="1385">
        <f>RBBD!B9</f>
        <v>0</v>
      </c>
      <c r="C24" s="1385">
        <f>RBBD!C9</f>
        <v>0</v>
      </c>
      <c r="D24" s="1385">
        <f>RBBD!D9</f>
        <v>0</v>
      </c>
      <c r="E24" s="1385">
        <f>RBBD!E9</f>
        <v>0</v>
      </c>
      <c r="F24" s="1385">
        <f>RBBD!F9</f>
        <v>0</v>
      </c>
      <c r="G24" s="1385">
        <f>RBBD!G9</f>
        <v>0</v>
      </c>
      <c r="H24" s="1385">
        <f>RBBD!H9</f>
        <v>0</v>
      </c>
      <c r="I24" s="1385">
        <f t="shared" si="2"/>
        <v>0</v>
      </c>
      <c r="J24" s="1385">
        <f t="shared" si="2"/>
        <v>0</v>
      </c>
      <c r="K24" s="1385">
        <f t="shared" si="2"/>
        <v>0</v>
      </c>
      <c r="L24" s="1385">
        <f t="shared" si="2"/>
        <v>0</v>
      </c>
      <c r="M24" s="1385">
        <f t="shared" si="3"/>
        <v>0</v>
      </c>
      <c r="N24" s="1385">
        <f>RBBD!I9</f>
        <v>0</v>
      </c>
      <c r="O24" s="1385">
        <f>RBBD!J9</f>
        <v>0</v>
      </c>
      <c r="P24" s="1385">
        <f>RBBD!K9</f>
        <v>0</v>
      </c>
      <c r="Q24" s="1385">
        <f>RBBD!L9</f>
        <v>0</v>
      </c>
      <c r="R24" s="1385">
        <f>RBBD!M9</f>
        <v>0</v>
      </c>
      <c r="S24" s="1385">
        <f>RBBD!N9</f>
        <v>0</v>
      </c>
      <c r="T24" s="1385">
        <f>RBBD!O9</f>
        <v>0</v>
      </c>
      <c r="U24" s="1385">
        <f>RBBD!P9</f>
        <v>0</v>
      </c>
      <c r="V24" s="1385">
        <f>RBBD!Q9</f>
        <v>0</v>
      </c>
      <c r="W24" s="1385">
        <f>RBBD!R9</f>
        <v>0</v>
      </c>
      <c r="X24" s="1385">
        <f>RBBD!S9</f>
        <v>0</v>
      </c>
      <c r="Y24" s="1385">
        <f>RBBD!T9</f>
        <v>0</v>
      </c>
      <c r="Z24" s="65"/>
      <c r="AA24" s="329">
        <f t="shared" ref="AA24:AA38" si="4">IF(B24=0,0,1)</f>
        <v>0</v>
      </c>
    </row>
    <row r="25" spans="2:27" hidden="1">
      <c r="B25" s="1385">
        <f>RBBD!B10</f>
        <v>0</v>
      </c>
      <c r="C25" s="1385">
        <f>RBBD!C10</f>
        <v>0</v>
      </c>
      <c r="D25" s="1385">
        <f>RBBD!D10</f>
        <v>0</v>
      </c>
      <c r="E25" s="1385">
        <f>RBBD!E10</f>
        <v>0</v>
      </c>
      <c r="F25" s="1385">
        <f>RBBD!F10</f>
        <v>0</v>
      </c>
      <c r="G25" s="1385">
        <f>RBBD!G10</f>
        <v>0</v>
      </c>
      <c r="H25" s="1385">
        <f>RBBD!H10</f>
        <v>0</v>
      </c>
      <c r="I25" s="1385">
        <f t="shared" si="2"/>
        <v>0</v>
      </c>
      <c r="J25" s="1385">
        <f t="shared" si="2"/>
        <v>0</v>
      </c>
      <c r="K25" s="1385">
        <f t="shared" si="2"/>
        <v>0</v>
      </c>
      <c r="L25" s="1385">
        <f t="shared" si="2"/>
        <v>0</v>
      </c>
      <c r="M25" s="1385">
        <f t="shared" si="3"/>
        <v>0</v>
      </c>
      <c r="N25" s="1385">
        <f>RBBD!I10</f>
        <v>0</v>
      </c>
      <c r="O25" s="1385">
        <f>RBBD!J10</f>
        <v>0</v>
      </c>
      <c r="P25" s="1385">
        <f>RBBD!K10</f>
        <v>0</v>
      </c>
      <c r="Q25" s="1385">
        <f>RBBD!L10</f>
        <v>0</v>
      </c>
      <c r="R25" s="1385">
        <f>RBBD!M10</f>
        <v>0</v>
      </c>
      <c r="S25" s="1385">
        <f>RBBD!N10</f>
        <v>0</v>
      </c>
      <c r="T25" s="1385">
        <f>RBBD!O10</f>
        <v>0</v>
      </c>
      <c r="U25" s="1385">
        <f>RBBD!P10</f>
        <v>0</v>
      </c>
      <c r="V25" s="1385">
        <f>RBBD!Q10</f>
        <v>0</v>
      </c>
      <c r="W25" s="1385">
        <f>RBBD!R10</f>
        <v>0</v>
      </c>
      <c r="X25" s="1385">
        <f>RBBD!S10</f>
        <v>0</v>
      </c>
      <c r="Y25" s="1385">
        <f>RBBD!T10</f>
        <v>0</v>
      </c>
      <c r="Z25" s="65"/>
      <c r="AA25" s="329">
        <f t="shared" si="4"/>
        <v>0</v>
      </c>
    </row>
    <row r="26" spans="2:27" hidden="1">
      <c r="B26" s="1385">
        <f>RBBD!B11</f>
        <v>0</v>
      </c>
      <c r="C26" s="1385">
        <f>RBBD!C11</f>
        <v>0</v>
      </c>
      <c r="D26" s="1385">
        <f>RBBD!D11</f>
        <v>0</v>
      </c>
      <c r="E26" s="1385">
        <f>RBBD!E11</f>
        <v>0</v>
      </c>
      <c r="F26" s="1385">
        <f>RBBD!F11</f>
        <v>0</v>
      </c>
      <c r="G26" s="1385">
        <f>RBBD!G11</f>
        <v>0</v>
      </c>
      <c r="H26" s="1385">
        <f>RBBD!H11</f>
        <v>0</v>
      </c>
      <c r="I26" s="1385">
        <f t="shared" si="2"/>
        <v>0</v>
      </c>
      <c r="J26" s="1385">
        <f t="shared" si="2"/>
        <v>0</v>
      </c>
      <c r="K26" s="1385">
        <f t="shared" si="2"/>
        <v>0</v>
      </c>
      <c r="L26" s="1385">
        <f t="shared" si="2"/>
        <v>0</v>
      </c>
      <c r="M26" s="1385">
        <f t="shared" si="3"/>
        <v>0</v>
      </c>
      <c r="N26" s="1385">
        <f>RBBD!I11</f>
        <v>0</v>
      </c>
      <c r="O26" s="1385">
        <f>RBBD!J11</f>
        <v>0</v>
      </c>
      <c r="P26" s="1385">
        <f>RBBD!K11</f>
        <v>0</v>
      </c>
      <c r="Q26" s="1385">
        <f>RBBD!L11</f>
        <v>0</v>
      </c>
      <c r="R26" s="1385">
        <f>RBBD!M11</f>
        <v>0</v>
      </c>
      <c r="S26" s="1385">
        <f>RBBD!N11</f>
        <v>0</v>
      </c>
      <c r="T26" s="1385">
        <f>RBBD!O11</f>
        <v>0</v>
      </c>
      <c r="U26" s="1385">
        <f>RBBD!P11</f>
        <v>0</v>
      </c>
      <c r="V26" s="1385">
        <f>RBBD!Q11</f>
        <v>0</v>
      </c>
      <c r="W26" s="1385">
        <f>RBBD!R11</f>
        <v>0</v>
      </c>
      <c r="X26" s="1385">
        <f>RBBD!S11</f>
        <v>0</v>
      </c>
      <c r="Y26" s="1385">
        <f>RBBD!T11</f>
        <v>0</v>
      </c>
      <c r="Z26" s="65"/>
      <c r="AA26" s="329">
        <f t="shared" si="4"/>
        <v>0</v>
      </c>
    </row>
    <row r="27" spans="2:27" hidden="1">
      <c r="B27" s="1385">
        <f>RBBD!B12</f>
        <v>0</v>
      </c>
      <c r="C27" s="1385">
        <f>RBBD!C12</f>
        <v>0</v>
      </c>
      <c r="D27" s="1385">
        <f>RBBD!D12</f>
        <v>0</v>
      </c>
      <c r="E27" s="1385">
        <f>RBBD!E12</f>
        <v>0</v>
      </c>
      <c r="F27" s="1385">
        <f>RBBD!F12</f>
        <v>0</v>
      </c>
      <c r="G27" s="1385">
        <f>RBBD!G12</f>
        <v>0</v>
      </c>
      <c r="H27" s="1385">
        <f>RBBD!H12</f>
        <v>0</v>
      </c>
      <c r="I27" s="1385">
        <f t="shared" si="2"/>
        <v>0</v>
      </c>
      <c r="J27" s="1385">
        <f t="shared" si="2"/>
        <v>0</v>
      </c>
      <c r="K27" s="1385">
        <f t="shared" si="2"/>
        <v>0</v>
      </c>
      <c r="L27" s="1385">
        <f t="shared" si="2"/>
        <v>0</v>
      </c>
      <c r="M27" s="1385">
        <f t="shared" si="3"/>
        <v>0</v>
      </c>
      <c r="N27" s="1385">
        <f>RBBD!I12</f>
        <v>0</v>
      </c>
      <c r="O27" s="1385">
        <f>RBBD!J12</f>
        <v>0</v>
      </c>
      <c r="P27" s="1385">
        <f>RBBD!K12</f>
        <v>0</v>
      </c>
      <c r="Q27" s="1385">
        <f>RBBD!L12</f>
        <v>0</v>
      </c>
      <c r="R27" s="1385">
        <f>RBBD!M12</f>
        <v>0</v>
      </c>
      <c r="S27" s="1385">
        <f>RBBD!N12</f>
        <v>0</v>
      </c>
      <c r="T27" s="1385">
        <f>RBBD!O12</f>
        <v>0</v>
      </c>
      <c r="U27" s="1385">
        <f>RBBD!P12</f>
        <v>0</v>
      </c>
      <c r="V27" s="1385">
        <f>RBBD!Q12</f>
        <v>0</v>
      </c>
      <c r="W27" s="1385">
        <f>RBBD!R12</f>
        <v>0</v>
      </c>
      <c r="X27" s="1385">
        <f>RBBD!S12</f>
        <v>0</v>
      </c>
      <c r="Y27" s="1385">
        <f>RBBD!T12</f>
        <v>0</v>
      </c>
      <c r="Z27" s="65"/>
      <c r="AA27" s="329">
        <f t="shared" si="4"/>
        <v>0</v>
      </c>
    </row>
    <row r="28" spans="2:27" hidden="1">
      <c r="B28" s="1385">
        <f>RBBD!B13</f>
        <v>0</v>
      </c>
      <c r="C28" s="1385">
        <f>RBBD!C13</f>
        <v>0</v>
      </c>
      <c r="D28" s="1385">
        <f>RBBD!D13</f>
        <v>0</v>
      </c>
      <c r="E28" s="1385">
        <f>RBBD!G13</f>
        <v>0</v>
      </c>
      <c r="F28" s="1385">
        <f>RBBD!H13</f>
        <v>0</v>
      </c>
      <c r="G28" s="1385">
        <f>RBBD!E13</f>
        <v>0</v>
      </c>
      <c r="H28" s="1385">
        <f>RBBD!F13</f>
        <v>0</v>
      </c>
      <c r="I28" s="1385">
        <f t="shared" si="2"/>
        <v>0</v>
      </c>
      <c r="J28" s="1385">
        <f t="shared" si="2"/>
        <v>0</v>
      </c>
      <c r="K28" s="1385">
        <f t="shared" si="2"/>
        <v>0</v>
      </c>
      <c r="L28" s="1385">
        <f t="shared" si="2"/>
        <v>0</v>
      </c>
      <c r="M28" s="1385">
        <f t="shared" si="3"/>
        <v>0</v>
      </c>
      <c r="N28" s="1385">
        <f>RBBD!I13</f>
        <v>0</v>
      </c>
      <c r="O28" s="1385">
        <f>RBBD!J13</f>
        <v>0</v>
      </c>
      <c r="P28" s="1385">
        <f>RBBD!K13</f>
        <v>0</v>
      </c>
      <c r="Q28" s="1385">
        <f>RBBD!L13</f>
        <v>0</v>
      </c>
      <c r="R28" s="1385">
        <f>RBBD!M13</f>
        <v>0</v>
      </c>
      <c r="S28" s="1385">
        <f>RBBD!N13</f>
        <v>0</v>
      </c>
      <c r="T28" s="1385">
        <f>RBBD!O13</f>
        <v>0</v>
      </c>
      <c r="U28" s="1385">
        <f>RBBD!P13</f>
        <v>0</v>
      </c>
      <c r="V28" s="1385">
        <f>RBBD!Q13</f>
        <v>0</v>
      </c>
      <c r="W28" s="1385">
        <f>RBBD!R13</f>
        <v>0</v>
      </c>
      <c r="X28" s="1385">
        <f>RBBD!S13</f>
        <v>0</v>
      </c>
      <c r="Y28" s="1385">
        <f>RBBD!T13</f>
        <v>0</v>
      </c>
      <c r="Z28" s="65"/>
      <c r="AA28" s="329">
        <f t="shared" si="4"/>
        <v>0</v>
      </c>
    </row>
    <row r="29" spans="2:27" hidden="1">
      <c r="B29" s="1385">
        <f>RBBD!B14</f>
        <v>0</v>
      </c>
      <c r="C29" s="1385">
        <f>RBBD!C14</f>
        <v>0</v>
      </c>
      <c r="D29" s="1385">
        <f>RBBD!D14</f>
        <v>0</v>
      </c>
      <c r="E29" s="1385">
        <f>RBBD!G14</f>
        <v>0</v>
      </c>
      <c r="F29" s="1385">
        <f>RBBD!H14</f>
        <v>0</v>
      </c>
      <c r="G29" s="1385">
        <f>RBBD!E14</f>
        <v>0</v>
      </c>
      <c r="H29" s="1385">
        <f>RBBD!F14</f>
        <v>0</v>
      </c>
      <c r="I29" s="1385">
        <f t="shared" si="2"/>
        <v>0</v>
      </c>
      <c r="J29" s="1385">
        <f t="shared" si="2"/>
        <v>0</v>
      </c>
      <c r="K29" s="1385">
        <f t="shared" si="2"/>
        <v>0</v>
      </c>
      <c r="L29" s="1385">
        <f t="shared" si="2"/>
        <v>0</v>
      </c>
      <c r="M29" s="1385">
        <f t="shared" si="3"/>
        <v>0</v>
      </c>
      <c r="N29" s="1385">
        <f>RBBD!I14</f>
        <v>0</v>
      </c>
      <c r="O29" s="1385">
        <f>RBBD!J14</f>
        <v>0</v>
      </c>
      <c r="P29" s="1385">
        <f>RBBD!K14</f>
        <v>0</v>
      </c>
      <c r="Q29" s="1385">
        <f>RBBD!L14</f>
        <v>0</v>
      </c>
      <c r="R29" s="1385">
        <f>RBBD!M14</f>
        <v>0</v>
      </c>
      <c r="S29" s="1385">
        <f>RBBD!N14</f>
        <v>0</v>
      </c>
      <c r="T29" s="1385">
        <f>RBBD!O14</f>
        <v>0</v>
      </c>
      <c r="U29" s="1385">
        <f>RBBD!P14</f>
        <v>0</v>
      </c>
      <c r="V29" s="1385">
        <f>RBBD!Q14</f>
        <v>0</v>
      </c>
      <c r="W29" s="1385">
        <f>RBBD!R14</f>
        <v>0</v>
      </c>
      <c r="X29" s="1385">
        <f>RBBD!S14</f>
        <v>0</v>
      </c>
      <c r="Y29" s="1385">
        <f>RBBD!T14</f>
        <v>0</v>
      </c>
      <c r="Z29" s="65"/>
      <c r="AA29" s="329">
        <f t="shared" si="4"/>
        <v>0</v>
      </c>
    </row>
    <row r="30" spans="2:27" hidden="1">
      <c r="B30" s="1385">
        <f>RBBD!B15</f>
        <v>0</v>
      </c>
      <c r="C30" s="1385">
        <f>RBBD!C15</f>
        <v>0</v>
      </c>
      <c r="D30" s="1385">
        <f>RBBD!D15</f>
        <v>0</v>
      </c>
      <c r="E30" s="1385">
        <f>RBBD!G15</f>
        <v>0</v>
      </c>
      <c r="F30" s="1385">
        <f>RBBD!H15</f>
        <v>0</v>
      </c>
      <c r="G30" s="1385">
        <f>RBBD!E15</f>
        <v>0</v>
      </c>
      <c r="H30" s="1385">
        <f>RBBD!F15</f>
        <v>0</v>
      </c>
      <c r="I30" s="1385">
        <f t="shared" si="2"/>
        <v>0</v>
      </c>
      <c r="J30" s="1385">
        <f t="shared" si="2"/>
        <v>0</v>
      </c>
      <c r="K30" s="1385">
        <f t="shared" si="2"/>
        <v>0</v>
      </c>
      <c r="L30" s="1385">
        <f t="shared" si="2"/>
        <v>0</v>
      </c>
      <c r="M30" s="1385">
        <f t="shared" si="3"/>
        <v>0</v>
      </c>
      <c r="N30" s="1385">
        <f>RBBD!I15</f>
        <v>0</v>
      </c>
      <c r="O30" s="1385">
        <f>RBBD!J15</f>
        <v>0</v>
      </c>
      <c r="P30" s="1385">
        <f>RBBD!K15</f>
        <v>0</v>
      </c>
      <c r="Q30" s="1385">
        <f>RBBD!L15</f>
        <v>0</v>
      </c>
      <c r="R30" s="1385">
        <f>RBBD!M15</f>
        <v>0</v>
      </c>
      <c r="S30" s="1385">
        <f>RBBD!N15</f>
        <v>0</v>
      </c>
      <c r="T30" s="1385">
        <f>RBBD!O15</f>
        <v>0</v>
      </c>
      <c r="U30" s="1385">
        <f>RBBD!P15</f>
        <v>0</v>
      </c>
      <c r="V30" s="1385">
        <f>RBBD!Q15</f>
        <v>0</v>
      </c>
      <c r="W30" s="1385">
        <f>RBBD!R15</f>
        <v>0</v>
      </c>
      <c r="X30" s="1385">
        <f>RBBD!S15</f>
        <v>0</v>
      </c>
      <c r="Y30" s="1385">
        <f>RBBD!T15</f>
        <v>0</v>
      </c>
      <c r="Z30" s="65"/>
      <c r="AA30" s="329">
        <f t="shared" si="4"/>
        <v>0</v>
      </c>
    </row>
    <row r="31" spans="2:27" hidden="1">
      <c r="B31" s="1385">
        <f>RBBD!B16</f>
        <v>0</v>
      </c>
      <c r="C31" s="1385">
        <f>RBBD!C16</f>
        <v>0</v>
      </c>
      <c r="D31" s="1385">
        <f>RBBD!D16</f>
        <v>0</v>
      </c>
      <c r="E31" s="1385">
        <f>RBBD!G16</f>
        <v>0</v>
      </c>
      <c r="F31" s="1385">
        <f>RBBD!H16</f>
        <v>0</v>
      </c>
      <c r="G31" s="1385">
        <f>RBBD!E16</f>
        <v>0</v>
      </c>
      <c r="H31" s="1385">
        <f>RBBD!F16</f>
        <v>0</v>
      </c>
      <c r="I31" s="1385">
        <f t="shared" si="2"/>
        <v>0</v>
      </c>
      <c r="J31" s="1385">
        <f t="shared" si="2"/>
        <v>0</v>
      </c>
      <c r="K31" s="1385">
        <f t="shared" si="2"/>
        <v>0</v>
      </c>
      <c r="L31" s="1385">
        <f t="shared" si="2"/>
        <v>0</v>
      </c>
      <c r="M31" s="1385">
        <f t="shared" si="3"/>
        <v>0</v>
      </c>
      <c r="N31" s="1385">
        <f>RBBD!I16</f>
        <v>0</v>
      </c>
      <c r="O31" s="1385">
        <f>RBBD!J16</f>
        <v>0</v>
      </c>
      <c r="P31" s="1385">
        <f>RBBD!K16</f>
        <v>0</v>
      </c>
      <c r="Q31" s="1385">
        <f>RBBD!L16</f>
        <v>0</v>
      </c>
      <c r="R31" s="1385">
        <f>RBBD!M16</f>
        <v>0</v>
      </c>
      <c r="S31" s="1385">
        <f>RBBD!N16</f>
        <v>0</v>
      </c>
      <c r="T31" s="1385">
        <f>RBBD!O16</f>
        <v>0</v>
      </c>
      <c r="U31" s="1385">
        <f>RBBD!P16</f>
        <v>0</v>
      </c>
      <c r="V31" s="1385">
        <f>RBBD!Q16</f>
        <v>0</v>
      </c>
      <c r="W31" s="1385">
        <f>RBBD!R16</f>
        <v>0</v>
      </c>
      <c r="X31" s="1385">
        <f>RBBD!S16</f>
        <v>0</v>
      </c>
      <c r="Y31" s="1385">
        <f>RBBD!T16</f>
        <v>0</v>
      </c>
      <c r="Z31" s="65"/>
      <c r="AA31" s="329">
        <f t="shared" si="4"/>
        <v>0</v>
      </c>
    </row>
    <row r="32" spans="2:27" hidden="1">
      <c r="B32" s="1385">
        <f>RBBD!B17</f>
        <v>0</v>
      </c>
      <c r="C32" s="1385">
        <f>RBBD!C17</f>
        <v>0</v>
      </c>
      <c r="D32" s="1385">
        <f>RBBD!D17</f>
        <v>0</v>
      </c>
      <c r="E32" s="1385">
        <f>RBBD!G17</f>
        <v>0</v>
      </c>
      <c r="F32" s="1385">
        <f>RBBD!H17</f>
        <v>0</v>
      </c>
      <c r="G32" s="1385">
        <f>RBBD!E17</f>
        <v>0</v>
      </c>
      <c r="H32" s="1385">
        <f>RBBD!F17</f>
        <v>0</v>
      </c>
      <c r="I32" s="1385">
        <f t="shared" si="2"/>
        <v>0</v>
      </c>
      <c r="J32" s="1385">
        <f t="shared" si="2"/>
        <v>0</v>
      </c>
      <c r="K32" s="1385">
        <f t="shared" si="2"/>
        <v>0</v>
      </c>
      <c r="L32" s="1385">
        <f t="shared" si="2"/>
        <v>0</v>
      </c>
      <c r="M32" s="1385">
        <f t="shared" si="3"/>
        <v>0</v>
      </c>
      <c r="N32" s="1385">
        <f>RBBD!I17</f>
        <v>0</v>
      </c>
      <c r="O32" s="1385">
        <f>RBBD!J17</f>
        <v>0</v>
      </c>
      <c r="P32" s="1385">
        <f>RBBD!K17</f>
        <v>0</v>
      </c>
      <c r="Q32" s="1385">
        <f>RBBD!L17</f>
        <v>0</v>
      </c>
      <c r="R32" s="1385">
        <f>RBBD!M17</f>
        <v>0</v>
      </c>
      <c r="S32" s="1385">
        <f>RBBD!N17</f>
        <v>0</v>
      </c>
      <c r="T32" s="1385">
        <f>RBBD!O17</f>
        <v>0</v>
      </c>
      <c r="U32" s="1385">
        <f>RBBD!P17</f>
        <v>0</v>
      </c>
      <c r="V32" s="1385">
        <f>RBBD!Q17</f>
        <v>0</v>
      </c>
      <c r="W32" s="1385">
        <f>RBBD!R17</f>
        <v>0</v>
      </c>
      <c r="X32" s="1385">
        <f>RBBD!S17</f>
        <v>0</v>
      </c>
      <c r="Y32" s="1385">
        <f>RBBD!T17</f>
        <v>0</v>
      </c>
      <c r="Z32" s="65"/>
      <c r="AA32" s="329">
        <f t="shared" si="4"/>
        <v>0</v>
      </c>
    </row>
    <row r="33" spans="2:27" hidden="1">
      <c r="B33" s="1385">
        <f>RBBD!B18</f>
        <v>0</v>
      </c>
      <c r="C33" s="1385">
        <f>RBBD!C18</f>
        <v>0</v>
      </c>
      <c r="D33" s="1385">
        <f>RBBD!D18</f>
        <v>0</v>
      </c>
      <c r="E33" s="1385">
        <f>RBBD!G18</f>
        <v>0</v>
      </c>
      <c r="F33" s="1385">
        <f>RBBD!H18</f>
        <v>0</v>
      </c>
      <c r="G33" s="1385">
        <f>RBBD!E18</f>
        <v>0</v>
      </c>
      <c r="H33" s="1385">
        <f>RBBD!F18</f>
        <v>0</v>
      </c>
      <c r="I33" s="1385">
        <f t="shared" si="2"/>
        <v>0</v>
      </c>
      <c r="J33" s="1385">
        <f t="shared" si="2"/>
        <v>0</v>
      </c>
      <c r="K33" s="1385">
        <f t="shared" si="2"/>
        <v>0</v>
      </c>
      <c r="L33" s="1385">
        <f t="shared" si="2"/>
        <v>0</v>
      </c>
      <c r="M33" s="1385">
        <f t="shared" si="3"/>
        <v>0</v>
      </c>
      <c r="N33" s="1385">
        <f>RBBD!I18</f>
        <v>0</v>
      </c>
      <c r="O33" s="1385">
        <f>RBBD!J18</f>
        <v>0</v>
      </c>
      <c r="P33" s="1385">
        <f>RBBD!K18</f>
        <v>0</v>
      </c>
      <c r="Q33" s="1385">
        <f>RBBD!L18</f>
        <v>0</v>
      </c>
      <c r="R33" s="1385">
        <f>RBBD!M18</f>
        <v>0</v>
      </c>
      <c r="S33" s="1385">
        <f>RBBD!N18</f>
        <v>0</v>
      </c>
      <c r="T33" s="1385">
        <f>RBBD!O18</f>
        <v>0</v>
      </c>
      <c r="U33" s="1385">
        <f>RBBD!P18</f>
        <v>0</v>
      </c>
      <c r="V33" s="1385">
        <f>RBBD!Q18</f>
        <v>0</v>
      </c>
      <c r="W33" s="1385">
        <f>RBBD!R18</f>
        <v>0</v>
      </c>
      <c r="X33" s="1385">
        <f>RBBD!S18</f>
        <v>0</v>
      </c>
      <c r="Y33" s="1385">
        <f>RBBD!T18</f>
        <v>0</v>
      </c>
      <c r="Z33" s="65"/>
      <c r="AA33" s="329">
        <f t="shared" si="4"/>
        <v>0</v>
      </c>
    </row>
    <row r="34" spans="2:27" hidden="1">
      <c r="B34" s="1385">
        <f>RBBD!B19</f>
        <v>0</v>
      </c>
      <c r="C34" s="1385">
        <f>RBBD!C19</f>
        <v>0</v>
      </c>
      <c r="D34" s="1385">
        <f>RBBD!D19</f>
        <v>0</v>
      </c>
      <c r="E34" s="1385">
        <f>RBBD!G19</f>
        <v>0</v>
      </c>
      <c r="F34" s="1385">
        <f>RBBD!H19</f>
        <v>0</v>
      </c>
      <c r="G34" s="1385">
        <f>RBBD!E19</f>
        <v>0</v>
      </c>
      <c r="H34" s="1385">
        <f>RBBD!F19</f>
        <v>0</v>
      </c>
      <c r="I34" s="1385">
        <f t="shared" si="2"/>
        <v>0</v>
      </c>
      <c r="J34" s="1385">
        <f t="shared" si="2"/>
        <v>0</v>
      </c>
      <c r="K34" s="1385">
        <f t="shared" si="2"/>
        <v>0</v>
      </c>
      <c r="L34" s="1385">
        <f t="shared" si="2"/>
        <v>0</v>
      </c>
      <c r="M34" s="1385">
        <f t="shared" si="3"/>
        <v>0</v>
      </c>
      <c r="N34" s="1385">
        <f>RBBD!I19</f>
        <v>0</v>
      </c>
      <c r="O34" s="1385">
        <f>RBBD!J19</f>
        <v>0</v>
      </c>
      <c r="P34" s="1385">
        <f>RBBD!K19</f>
        <v>0</v>
      </c>
      <c r="Q34" s="1385">
        <f>RBBD!L19</f>
        <v>0</v>
      </c>
      <c r="R34" s="1385">
        <f>RBBD!M19</f>
        <v>0</v>
      </c>
      <c r="S34" s="1385">
        <f>RBBD!N19</f>
        <v>0</v>
      </c>
      <c r="T34" s="1385">
        <f>RBBD!O19</f>
        <v>0</v>
      </c>
      <c r="U34" s="1385">
        <f>RBBD!P19</f>
        <v>0</v>
      </c>
      <c r="V34" s="1385">
        <f>RBBD!Q19</f>
        <v>0</v>
      </c>
      <c r="W34" s="1385">
        <f>RBBD!R19</f>
        <v>0</v>
      </c>
      <c r="X34" s="1385">
        <f>RBBD!S19</f>
        <v>0</v>
      </c>
      <c r="Y34" s="1385">
        <f>RBBD!T19</f>
        <v>0</v>
      </c>
      <c r="Z34" s="65"/>
      <c r="AA34" s="329">
        <f t="shared" si="4"/>
        <v>0</v>
      </c>
    </row>
    <row r="35" spans="2:27" hidden="1">
      <c r="B35" s="1385">
        <f>RBBD!B20</f>
        <v>0</v>
      </c>
      <c r="C35" s="1385">
        <f>RBBD!C20</f>
        <v>0</v>
      </c>
      <c r="D35" s="1385">
        <f>RBBD!D20</f>
        <v>0</v>
      </c>
      <c r="E35" s="1385">
        <f>RBBD!G20</f>
        <v>0</v>
      </c>
      <c r="F35" s="1385">
        <f>RBBD!H20</f>
        <v>0</v>
      </c>
      <c r="G35" s="1385">
        <f>RBBD!E20</f>
        <v>0</v>
      </c>
      <c r="H35" s="1385">
        <f>RBBD!F20</f>
        <v>0</v>
      </c>
      <c r="I35" s="1385">
        <f t="shared" si="2"/>
        <v>0</v>
      </c>
      <c r="J35" s="1385">
        <f t="shared" si="2"/>
        <v>0</v>
      </c>
      <c r="K35" s="1385">
        <f t="shared" si="2"/>
        <v>0</v>
      </c>
      <c r="L35" s="1385">
        <f t="shared" si="2"/>
        <v>0</v>
      </c>
      <c r="M35" s="1385">
        <f t="shared" si="3"/>
        <v>0</v>
      </c>
      <c r="N35" s="1385">
        <f>RBBD!I20</f>
        <v>0</v>
      </c>
      <c r="O35" s="1385">
        <f>RBBD!J20</f>
        <v>0</v>
      </c>
      <c r="P35" s="1385">
        <f>RBBD!K20</f>
        <v>0</v>
      </c>
      <c r="Q35" s="1385">
        <f>RBBD!L20</f>
        <v>0</v>
      </c>
      <c r="R35" s="1385">
        <f>RBBD!M20</f>
        <v>0</v>
      </c>
      <c r="S35" s="1385">
        <f>RBBD!N20</f>
        <v>0</v>
      </c>
      <c r="T35" s="1385">
        <f>RBBD!O20</f>
        <v>0</v>
      </c>
      <c r="U35" s="1385">
        <f>RBBD!P20</f>
        <v>0</v>
      </c>
      <c r="V35" s="1385">
        <f>RBBD!Q20</f>
        <v>0</v>
      </c>
      <c r="W35" s="1385">
        <f>RBBD!R20</f>
        <v>0</v>
      </c>
      <c r="X35" s="1385">
        <f>RBBD!S20</f>
        <v>0</v>
      </c>
      <c r="Y35" s="1385">
        <f>RBBD!T20</f>
        <v>0</v>
      </c>
      <c r="Z35" s="65"/>
      <c r="AA35" s="329">
        <f t="shared" si="4"/>
        <v>0</v>
      </c>
    </row>
    <row r="36" spans="2:27" hidden="1">
      <c r="B36" s="1385">
        <f>RBBD!B21</f>
        <v>0</v>
      </c>
      <c r="C36" s="1385">
        <f>RBBD!C21</f>
        <v>0</v>
      </c>
      <c r="D36" s="1385">
        <f>RBBD!D21</f>
        <v>0</v>
      </c>
      <c r="E36" s="1385">
        <f>RBBD!G21</f>
        <v>0</v>
      </c>
      <c r="F36" s="1385">
        <f>RBBD!H21</f>
        <v>0</v>
      </c>
      <c r="G36" s="1385">
        <f>RBBD!E21</f>
        <v>0</v>
      </c>
      <c r="H36" s="1385">
        <f>RBBD!F21</f>
        <v>0</v>
      </c>
      <c r="I36" s="1385">
        <f t="shared" si="2"/>
        <v>0</v>
      </c>
      <c r="J36" s="1385">
        <f t="shared" si="2"/>
        <v>0</v>
      </c>
      <c r="K36" s="1385">
        <f t="shared" si="2"/>
        <v>0</v>
      </c>
      <c r="L36" s="1385">
        <f t="shared" si="2"/>
        <v>0</v>
      </c>
      <c r="M36" s="1385">
        <f t="shared" si="3"/>
        <v>0</v>
      </c>
      <c r="N36" s="1385">
        <f>RBBD!I21</f>
        <v>0</v>
      </c>
      <c r="O36" s="1385">
        <f>RBBD!J21</f>
        <v>0</v>
      </c>
      <c r="P36" s="1385">
        <f>RBBD!K21</f>
        <v>0</v>
      </c>
      <c r="Q36" s="1385">
        <f>RBBD!L21</f>
        <v>0</v>
      </c>
      <c r="R36" s="1385">
        <f>RBBD!M21</f>
        <v>0</v>
      </c>
      <c r="S36" s="1385">
        <f>RBBD!N21</f>
        <v>0</v>
      </c>
      <c r="T36" s="1385">
        <f>RBBD!O21</f>
        <v>0</v>
      </c>
      <c r="U36" s="1385">
        <f>RBBD!P21</f>
        <v>0</v>
      </c>
      <c r="V36" s="1385">
        <f>RBBD!Q21</f>
        <v>0</v>
      </c>
      <c r="W36" s="1385">
        <f>RBBD!R21</f>
        <v>0</v>
      </c>
      <c r="X36" s="1385">
        <f>RBBD!S21</f>
        <v>0</v>
      </c>
      <c r="Y36" s="1385">
        <f>RBBD!T21</f>
        <v>0</v>
      </c>
      <c r="Z36" s="65"/>
      <c r="AA36" s="329">
        <f t="shared" si="4"/>
        <v>0</v>
      </c>
    </row>
    <row r="37" spans="2:27" hidden="1">
      <c r="B37" s="1385">
        <f>RBBD!B22</f>
        <v>0</v>
      </c>
      <c r="C37" s="1385">
        <f>RBBD!C22</f>
        <v>0</v>
      </c>
      <c r="D37" s="1385">
        <f>RBBD!D22</f>
        <v>0</v>
      </c>
      <c r="E37" s="1385">
        <f>RBBD!G22</f>
        <v>0</v>
      </c>
      <c r="F37" s="1385">
        <f>RBBD!H22</f>
        <v>0</v>
      </c>
      <c r="G37" s="1385">
        <f>RBBD!E22</f>
        <v>0</v>
      </c>
      <c r="H37" s="1385">
        <f>RBBD!F22</f>
        <v>0</v>
      </c>
      <c r="I37" s="1385">
        <f t="shared" si="2"/>
        <v>0</v>
      </c>
      <c r="J37" s="1385">
        <f t="shared" si="2"/>
        <v>0</v>
      </c>
      <c r="K37" s="1385">
        <f t="shared" si="2"/>
        <v>0</v>
      </c>
      <c r="L37" s="1385">
        <f t="shared" si="2"/>
        <v>0</v>
      </c>
      <c r="M37" s="1385">
        <f t="shared" si="3"/>
        <v>0</v>
      </c>
      <c r="N37" s="1385">
        <f>RBBD!I22</f>
        <v>0</v>
      </c>
      <c r="O37" s="1385">
        <f>RBBD!J22</f>
        <v>0</v>
      </c>
      <c r="P37" s="1385">
        <f>RBBD!K22</f>
        <v>0</v>
      </c>
      <c r="Q37" s="1385">
        <f>RBBD!L22</f>
        <v>0</v>
      </c>
      <c r="R37" s="1385">
        <f>RBBD!M22</f>
        <v>0</v>
      </c>
      <c r="S37" s="1385">
        <f>RBBD!N22</f>
        <v>0</v>
      </c>
      <c r="T37" s="1385">
        <f>RBBD!O22</f>
        <v>0</v>
      </c>
      <c r="U37" s="1385">
        <f>RBBD!P22</f>
        <v>0</v>
      </c>
      <c r="V37" s="1385">
        <f>RBBD!Q22</f>
        <v>0</v>
      </c>
      <c r="W37" s="1385">
        <f>RBBD!R22</f>
        <v>0</v>
      </c>
      <c r="X37" s="1385">
        <f>RBBD!S22</f>
        <v>0</v>
      </c>
      <c r="Y37" s="1385">
        <f>RBBD!T22</f>
        <v>0</v>
      </c>
      <c r="Z37" s="65"/>
      <c r="AA37" s="329">
        <f t="shared" si="4"/>
        <v>0</v>
      </c>
    </row>
    <row r="38" spans="2:27" hidden="1">
      <c r="B38" s="1385">
        <f>RBBD!B23</f>
        <v>0</v>
      </c>
      <c r="C38" s="1385">
        <f>RBBD!C23</f>
        <v>0</v>
      </c>
      <c r="D38" s="1385">
        <f>RBBD!D23</f>
        <v>0</v>
      </c>
      <c r="E38" s="1385">
        <f>RBBD!G23</f>
        <v>0</v>
      </c>
      <c r="F38" s="1385">
        <f>RBBD!H23</f>
        <v>0</v>
      </c>
      <c r="G38" s="1385">
        <f>RBBD!E23</f>
        <v>0</v>
      </c>
      <c r="H38" s="1385">
        <f>RBBD!F23</f>
        <v>0</v>
      </c>
      <c r="I38" s="1385">
        <f t="shared" si="2"/>
        <v>0</v>
      </c>
      <c r="J38" s="1385">
        <f t="shared" si="2"/>
        <v>0</v>
      </c>
      <c r="K38" s="1385">
        <f t="shared" si="2"/>
        <v>0</v>
      </c>
      <c r="L38" s="1385">
        <f t="shared" si="2"/>
        <v>0</v>
      </c>
      <c r="M38" s="1385">
        <f t="shared" si="3"/>
        <v>0</v>
      </c>
      <c r="N38" s="1385">
        <f>RBBD!I23</f>
        <v>0</v>
      </c>
      <c r="O38" s="1385">
        <f>RBBD!J23</f>
        <v>0</v>
      </c>
      <c r="P38" s="1385">
        <f>RBBD!K23</f>
        <v>0</v>
      </c>
      <c r="Q38" s="1385">
        <f>RBBD!L23</f>
        <v>0</v>
      </c>
      <c r="R38" s="1385">
        <f>RBBD!M23</f>
        <v>0</v>
      </c>
      <c r="S38" s="1385">
        <f>RBBD!N23</f>
        <v>0</v>
      </c>
      <c r="T38" s="1385">
        <f>RBBD!O23</f>
        <v>0</v>
      </c>
      <c r="U38" s="1385">
        <f>RBBD!P23</f>
        <v>0</v>
      </c>
      <c r="V38" s="1385">
        <f>RBBD!Q23</f>
        <v>0</v>
      </c>
      <c r="W38" s="1385">
        <f>RBBD!R23</f>
        <v>0</v>
      </c>
      <c r="X38" s="1385">
        <f>RBBD!S23</f>
        <v>0</v>
      </c>
      <c r="Y38" s="1385">
        <f>RBBD!T23</f>
        <v>0</v>
      </c>
      <c r="Z38" s="65"/>
      <c r="AA38" s="329">
        <f t="shared" si="4"/>
        <v>0</v>
      </c>
    </row>
    <row r="39" spans="2:27" hidden="1">
      <c r="B39" s="1385">
        <f>RBBD!B24</f>
        <v>0</v>
      </c>
      <c r="C39" s="1385">
        <f>RBBD!C24</f>
        <v>0</v>
      </c>
      <c r="D39" s="1385">
        <f>RBBD!D24</f>
        <v>0</v>
      </c>
      <c r="E39" s="1385">
        <f>RBBD!G24</f>
        <v>0</v>
      </c>
      <c r="F39" s="1385">
        <f>RBBD!H24</f>
        <v>0</v>
      </c>
      <c r="G39" s="1385">
        <f>RBBD!E24</f>
        <v>0</v>
      </c>
      <c r="H39" s="1385">
        <f>RBBD!F24</f>
        <v>0</v>
      </c>
      <c r="I39" s="1385">
        <f t="shared" si="2"/>
        <v>0</v>
      </c>
      <c r="J39" s="1385">
        <f t="shared" si="2"/>
        <v>0</v>
      </c>
      <c r="K39" s="1385">
        <f t="shared" si="2"/>
        <v>0</v>
      </c>
      <c r="L39" s="1385">
        <f t="shared" si="2"/>
        <v>0</v>
      </c>
      <c r="M39" s="1385">
        <f t="shared" si="3"/>
        <v>0</v>
      </c>
      <c r="N39" s="1385">
        <f>RBBD!I24</f>
        <v>0</v>
      </c>
      <c r="O39" s="1385">
        <f>RBBD!J24</f>
        <v>0</v>
      </c>
      <c r="P39" s="1385">
        <f>RBBD!K24</f>
        <v>0</v>
      </c>
      <c r="Q39" s="1385">
        <f>RBBD!L24</f>
        <v>0</v>
      </c>
      <c r="R39" s="1385">
        <f>RBBD!M24</f>
        <v>0</v>
      </c>
      <c r="S39" s="1385">
        <f>RBBD!N24</f>
        <v>0</v>
      </c>
      <c r="T39" s="1385">
        <f>RBBD!O24</f>
        <v>0</v>
      </c>
      <c r="U39" s="1385">
        <f>RBBD!P24</f>
        <v>0</v>
      </c>
      <c r="V39" s="1385">
        <f>RBBD!Q24</f>
        <v>0</v>
      </c>
      <c r="W39" s="1385">
        <f>RBBD!R24</f>
        <v>0</v>
      </c>
      <c r="X39" s="1385">
        <f>RBBD!S24</f>
        <v>0</v>
      </c>
      <c r="Y39" s="1385">
        <f>RBBD!T24</f>
        <v>0</v>
      </c>
      <c r="Z39" s="65"/>
      <c r="AA39" s="329">
        <f t="shared" ref="AA39:AA60" si="5">IF(B39=0,0,1)</f>
        <v>0</v>
      </c>
    </row>
    <row r="40" spans="2:27" hidden="1">
      <c r="B40" s="1385">
        <f>RBBD!B25</f>
        <v>0</v>
      </c>
      <c r="C40" s="1385">
        <f>RBBD!C25</f>
        <v>0</v>
      </c>
      <c r="D40" s="1385">
        <f>RBBD!D25</f>
        <v>0</v>
      </c>
      <c r="E40" s="1385">
        <f>RBBD!G25</f>
        <v>0</v>
      </c>
      <c r="F40" s="1385">
        <f>RBBD!H25</f>
        <v>0</v>
      </c>
      <c r="G40" s="1385">
        <f>RBBD!E25</f>
        <v>0</v>
      </c>
      <c r="H40" s="1385">
        <f>RBBD!F25</f>
        <v>0</v>
      </c>
      <c r="I40" s="1385">
        <f t="shared" si="2"/>
        <v>0</v>
      </c>
      <c r="J40" s="1385">
        <f t="shared" si="2"/>
        <v>0</v>
      </c>
      <c r="K40" s="1385">
        <f t="shared" si="2"/>
        <v>0</v>
      </c>
      <c r="L40" s="1385">
        <f t="shared" si="2"/>
        <v>0</v>
      </c>
      <c r="M40" s="1385">
        <f t="shared" si="3"/>
        <v>0</v>
      </c>
      <c r="N40" s="1385">
        <f>RBBD!I25</f>
        <v>0</v>
      </c>
      <c r="O40" s="1385">
        <f>RBBD!J25</f>
        <v>0</v>
      </c>
      <c r="P40" s="1385">
        <f>RBBD!K25</f>
        <v>0</v>
      </c>
      <c r="Q40" s="1385">
        <f>RBBD!L25</f>
        <v>0</v>
      </c>
      <c r="R40" s="1385">
        <f>RBBD!M25</f>
        <v>0</v>
      </c>
      <c r="S40" s="1385">
        <f>RBBD!N25</f>
        <v>0</v>
      </c>
      <c r="T40" s="1385">
        <f>RBBD!O25</f>
        <v>0</v>
      </c>
      <c r="U40" s="1385">
        <f>RBBD!P25</f>
        <v>0</v>
      </c>
      <c r="V40" s="1385">
        <f>RBBD!Q25</f>
        <v>0</v>
      </c>
      <c r="W40" s="1385">
        <f>RBBD!R25</f>
        <v>0</v>
      </c>
      <c r="X40" s="1385">
        <f>RBBD!S25</f>
        <v>0</v>
      </c>
      <c r="Y40" s="1385">
        <f>RBBD!T25</f>
        <v>0</v>
      </c>
      <c r="Z40" s="65"/>
      <c r="AA40" s="329">
        <f t="shared" si="5"/>
        <v>0</v>
      </c>
    </row>
    <row r="41" spans="2:27" hidden="1">
      <c r="B41" s="1385">
        <f>RBBD!B26</f>
        <v>0</v>
      </c>
      <c r="C41" s="1385">
        <f>RBBD!C26</f>
        <v>0</v>
      </c>
      <c r="D41" s="1385">
        <f>RBBD!D26</f>
        <v>0</v>
      </c>
      <c r="E41" s="1385">
        <f>RBBD!G26</f>
        <v>0</v>
      </c>
      <c r="F41" s="1385">
        <f>RBBD!H26</f>
        <v>0</v>
      </c>
      <c r="G41" s="1385">
        <f>RBBD!E26</f>
        <v>0</v>
      </c>
      <c r="H41" s="1385">
        <f>RBBD!F26</f>
        <v>0</v>
      </c>
      <c r="I41" s="1385">
        <f t="shared" si="2"/>
        <v>0</v>
      </c>
      <c r="J41" s="1385">
        <f t="shared" si="2"/>
        <v>0</v>
      </c>
      <c r="K41" s="1385">
        <f t="shared" si="2"/>
        <v>0</v>
      </c>
      <c r="L41" s="1385">
        <f t="shared" si="2"/>
        <v>0</v>
      </c>
      <c r="M41" s="1385">
        <f t="shared" si="3"/>
        <v>0</v>
      </c>
      <c r="N41" s="1385">
        <f>RBBD!I26</f>
        <v>0</v>
      </c>
      <c r="O41" s="1385">
        <f>RBBD!J26</f>
        <v>0</v>
      </c>
      <c r="P41" s="1385">
        <f>RBBD!K26</f>
        <v>0</v>
      </c>
      <c r="Q41" s="1385">
        <f>RBBD!L26</f>
        <v>0</v>
      </c>
      <c r="R41" s="1385">
        <f>RBBD!M26</f>
        <v>0</v>
      </c>
      <c r="S41" s="1385">
        <f>RBBD!N26</f>
        <v>0</v>
      </c>
      <c r="T41" s="1385">
        <f>RBBD!O26</f>
        <v>0</v>
      </c>
      <c r="U41" s="1385">
        <f>RBBD!P26</f>
        <v>0</v>
      </c>
      <c r="V41" s="1385">
        <f>RBBD!Q26</f>
        <v>0</v>
      </c>
      <c r="W41" s="1385">
        <f>RBBD!R26</f>
        <v>0</v>
      </c>
      <c r="X41" s="1385">
        <f>RBBD!S26</f>
        <v>0</v>
      </c>
      <c r="Y41" s="1385">
        <f>RBBD!T26</f>
        <v>0</v>
      </c>
      <c r="Z41" s="65"/>
      <c r="AA41" s="329">
        <f t="shared" si="5"/>
        <v>0</v>
      </c>
    </row>
    <row r="42" spans="2:27" hidden="1">
      <c r="B42" s="1385">
        <f>RBBD!B27</f>
        <v>0</v>
      </c>
      <c r="C42" s="1385">
        <f>RBBD!C27</f>
        <v>0</v>
      </c>
      <c r="D42" s="1385">
        <f>RBBD!D27</f>
        <v>0</v>
      </c>
      <c r="E42" s="1385">
        <f>RBBD!G27</f>
        <v>0</v>
      </c>
      <c r="F42" s="1385">
        <f>RBBD!H27</f>
        <v>0</v>
      </c>
      <c r="G42" s="1385">
        <f>RBBD!E27</f>
        <v>0</v>
      </c>
      <c r="H42" s="1385">
        <f>RBBD!F27</f>
        <v>0</v>
      </c>
      <c r="I42" s="1385">
        <f t="shared" si="2"/>
        <v>0</v>
      </c>
      <c r="J42" s="1385">
        <f t="shared" si="2"/>
        <v>0</v>
      </c>
      <c r="K42" s="1385">
        <f t="shared" si="2"/>
        <v>0</v>
      </c>
      <c r="L42" s="1385">
        <f t="shared" si="2"/>
        <v>0</v>
      </c>
      <c r="M42" s="1385">
        <f t="shared" si="3"/>
        <v>0</v>
      </c>
      <c r="N42" s="1385">
        <f>RBBD!I27</f>
        <v>0</v>
      </c>
      <c r="O42" s="1385">
        <f>RBBD!J27</f>
        <v>0</v>
      </c>
      <c r="P42" s="1385">
        <f>RBBD!K27</f>
        <v>0</v>
      </c>
      <c r="Q42" s="1385">
        <f>RBBD!L27</f>
        <v>0</v>
      </c>
      <c r="R42" s="1385">
        <f>RBBD!M27</f>
        <v>0</v>
      </c>
      <c r="S42" s="1385">
        <f>RBBD!N27</f>
        <v>0</v>
      </c>
      <c r="T42" s="1385">
        <f>RBBD!O27</f>
        <v>0</v>
      </c>
      <c r="U42" s="1385">
        <f>RBBD!P27</f>
        <v>0</v>
      </c>
      <c r="V42" s="1385">
        <f>RBBD!Q27</f>
        <v>0</v>
      </c>
      <c r="W42" s="1385">
        <f>RBBD!R27</f>
        <v>0</v>
      </c>
      <c r="X42" s="1385">
        <f>RBBD!S27</f>
        <v>0</v>
      </c>
      <c r="Y42" s="1385">
        <f>RBBD!T27</f>
        <v>0</v>
      </c>
      <c r="Z42" s="65"/>
      <c r="AA42" s="329">
        <f t="shared" si="5"/>
        <v>0</v>
      </c>
    </row>
    <row r="43" spans="2:27" hidden="1">
      <c r="B43" s="1385">
        <f>RBBD!B28</f>
        <v>0</v>
      </c>
      <c r="C43" s="1385">
        <f>RBBD!C28</f>
        <v>0</v>
      </c>
      <c r="D43" s="1385">
        <f>RBBD!D28</f>
        <v>0</v>
      </c>
      <c r="E43" s="1385">
        <f>RBBD!G28</f>
        <v>0</v>
      </c>
      <c r="F43" s="1385">
        <f>RBBD!H28</f>
        <v>0</v>
      </c>
      <c r="G43" s="1385">
        <f>RBBD!E28</f>
        <v>0</v>
      </c>
      <c r="H43" s="1385">
        <f>RBBD!F28</f>
        <v>0</v>
      </c>
      <c r="I43" s="1385">
        <f t="shared" si="2"/>
        <v>0</v>
      </c>
      <c r="J43" s="1385">
        <f t="shared" si="2"/>
        <v>0</v>
      </c>
      <c r="K43" s="1385">
        <f t="shared" si="2"/>
        <v>0</v>
      </c>
      <c r="L43" s="1385">
        <f t="shared" si="2"/>
        <v>0</v>
      </c>
      <c r="M43" s="1385">
        <f t="shared" si="3"/>
        <v>0</v>
      </c>
      <c r="N43" s="1385">
        <f>RBBD!I28</f>
        <v>0</v>
      </c>
      <c r="O43" s="1385">
        <f>RBBD!J28</f>
        <v>0</v>
      </c>
      <c r="P43" s="1385">
        <f>RBBD!K28</f>
        <v>0</v>
      </c>
      <c r="Q43" s="1385">
        <f>RBBD!L28</f>
        <v>0</v>
      </c>
      <c r="R43" s="1385">
        <f>RBBD!M28</f>
        <v>0</v>
      </c>
      <c r="S43" s="1385">
        <f>RBBD!N28</f>
        <v>0</v>
      </c>
      <c r="T43" s="1385">
        <f>RBBD!O28</f>
        <v>0</v>
      </c>
      <c r="U43" s="1385">
        <f>RBBD!P28</f>
        <v>0</v>
      </c>
      <c r="V43" s="1385">
        <f>RBBD!Q28</f>
        <v>0</v>
      </c>
      <c r="W43" s="1385">
        <f>RBBD!R28</f>
        <v>0</v>
      </c>
      <c r="X43" s="1385">
        <f>RBBD!S28</f>
        <v>0</v>
      </c>
      <c r="Y43" s="1385">
        <f>RBBD!T28</f>
        <v>0</v>
      </c>
      <c r="Z43" s="65"/>
      <c r="AA43" s="329">
        <f t="shared" si="5"/>
        <v>0</v>
      </c>
    </row>
    <row r="44" spans="2:27" hidden="1">
      <c r="B44" s="1385">
        <f>RBBD!B29</f>
        <v>0</v>
      </c>
      <c r="C44" s="1385">
        <f>RBBD!C29</f>
        <v>0</v>
      </c>
      <c r="D44" s="1385">
        <f>RBBD!D29</f>
        <v>0</v>
      </c>
      <c r="E44" s="1385">
        <f>RBBD!G29</f>
        <v>0</v>
      </c>
      <c r="F44" s="1385">
        <f>RBBD!H29</f>
        <v>0</v>
      </c>
      <c r="G44" s="1385">
        <f>RBBD!E29</f>
        <v>0</v>
      </c>
      <c r="H44" s="1385">
        <f>RBBD!F29</f>
        <v>0</v>
      </c>
      <c r="I44" s="1385">
        <f t="shared" si="2"/>
        <v>0</v>
      </c>
      <c r="J44" s="1385">
        <f t="shared" si="2"/>
        <v>0</v>
      </c>
      <c r="K44" s="1385">
        <f t="shared" si="2"/>
        <v>0</v>
      </c>
      <c r="L44" s="1385">
        <f t="shared" si="2"/>
        <v>0</v>
      </c>
      <c r="M44" s="1385">
        <f t="shared" si="3"/>
        <v>0</v>
      </c>
      <c r="N44" s="1385">
        <f>RBBD!I29</f>
        <v>0</v>
      </c>
      <c r="O44" s="1385">
        <f>RBBD!J29</f>
        <v>0</v>
      </c>
      <c r="P44" s="1385">
        <f>RBBD!K29</f>
        <v>0</v>
      </c>
      <c r="Q44" s="1385">
        <f>RBBD!L29</f>
        <v>0</v>
      </c>
      <c r="R44" s="1385">
        <f>RBBD!M29</f>
        <v>0</v>
      </c>
      <c r="S44" s="1385">
        <f>RBBD!N29</f>
        <v>0</v>
      </c>
      <c r="T44" s="1385">
        <f>RBBD!O29</f>
        <v>0</v>
      </c>
      <c r="U44" s="1385">
        <f>RBBD!P29</f>
        <v>0</v>
      </c>
      <c r="V44" s="1385">
        <f>RBBD!Q29</f>
        <v>0</v>
      </c>
      <c r="W44" s="1385">
        <f>RBBD!R29</f>
        <v>0</v>
      </c>
      <c r="X44" s="1385">
        <f>RBBD!S29</f>
        <v>0</v>
      </c>
      <c r="Y44" s="1385">
        <f>RBBD!T29</f>
        <v>0</v>
      </c>
      <c r="Z44" s="65"/>
      <c r="AA44" s="329">
        <f t="shared" si="5"/>
        <v>0</v>
      </c>
    </row>
    <row r="45" spans="2:27" hidden="1">
      <c r="B45" s="1385">
        <f>RBBD!B30</f>
        <v>0</v>
      </c>
      <c r="C45" s="1385">
        <f>RBBD!C30</f>
        <v>0</v>
      </c>
      <c r="D45" s="1385">
        <f>RBBD!D30</f>
        <v>0</v>
      </c>
      <c r="E45" s="1385">
        <f>RBBD!G30</f>
        <v>0</v>
      </c>
      <c r="F45" s="1385">
        <f>RBBD!H30</f>
        <v>0</v>
      </c>
      <c r="G45" s="1385">
        <f>RBBD!E30</f>
        <v>0</v>
      </c>
      <c r="H45" s="1385">
        <f>RBBD!F30</f>
        <v>0</v>
      </c>
      <c r="I45" s="1385">
        <f t="shared" si="2"/>
        <v>0</v>
      </c>
      <c r="J45" s="1385">
        <f t="shared" si="2"/>
        <v>0</v>
      </c>
      <c r="K45" s="1385">
        <f t="shared" si="2"/>
        <v>0</v>
      </c>
      <c r="L45" s="1385">
        <f t="shared" si="2"/>
        <v>0</v>
      </c>
      <c r="M45" s="1385">
        <f t="shared" si="3"/>
        <v>0</v>
      </c>
      <c r="N45" s="1385">
        <f>RBBD!I30</f>
        <v>0</v>
      </c>
      <c r="O45" s="1385">
        <f>RBBD!J30</f>
        <v>0</v>
      </c>
      <c r="P45" s="1385">
        <f>RBBD!K30</f>
        <v>0</v>
      </c>
      <c r="Q45" s="1385">
        <f>RBBD!L30</f>
        <v>0</v>
      </c>
      <c r="R45" s="1385">
        <f>RBBD!M30</f>
        <v>0</v>
      </c>
      <c r="S45" s="1385">
        <f>RBBD!N30</f>
        <v>0</v>
      </c>
      <c r="T45" s="1385">
        <f>RBBD!O30</f>
        <v>0</v>
      </c>
      <c r="U45" s="1385">
        <f>RBBD!P30</f>
        <v>0</v>
      </c>
      <c r="V45" s="1385">
        <f>RBBD!Q30</f>
        <v>0</v>
      </c>
      <c r="W45" s="1385">
        <f>RBBD!R30</f>
        <v>0</v>
      </c>
      <c r="X45" s="1385">
        <f>RBBD!S30</f>
        <v>0</v>
      </c>
      <c r="Y45" s="1385">
        <f>RBBD!T30</f>
        <v>0</v>
      </c>
      <c r="Z45" s="65"/>
      <c r="AA45" s="329">
        <f t="shared" si="5"/>
        <v>0</v>
      </c>
    </row>
    <row r="46" spans="2:27" hidden="1">
      <c r="B46" s="1385">
        <f>RBBD!B31</f>
        <v>0</v>
      </c>
      <c r="C46" s="1385">
        <f>RBBD!C31</f>
        <v>0</v>
      </c>
      <c r="D46" s="1385">
        <f>RBBD!D31</f>
        <v>0</v>
      </c>
      <c r="E46" s="1385">
        <f>RBBD!G31</f>
        <v>0</v>
      </c>
      <c r="F46" s="1385">
        <f>RBBD!H31</f>
        <v>0</v>
      </c>
      <c r="G46" s="1385">
        <f>RBBD!E31</f>
        <v>0</v>
      </c>
      <c r="H46" s="1385">
        <f>RBBD!F31</f>
        <v>0</v>
      </c>
      <c r="I46" s="1385">
        <f t="shared" si="2"/>
        <v>0</v>
      </c>
      <c r="J46" s="1385">
        <f t="shared" si="2"/>
        <v>0</v>
      </c>
      <c r="K46" s="1385">
        <f t="shared" si="2"/>
        <v>0</v>
      </c>
      <c r="L46" s="1385">
        <f t="shared" si="2"/>
        <v>0</v>
      </c>
      <c r="M46" s="1385">
        <f t="shared" si="3"/>
        <v>0</v>
      </c>
      <c r="N46" s="1385">
        <f>RBBD!I31</f>
        <v>0</v>
      </c>
      <c r="O46" s="1385">
        <f>RBBD!J31</f>
        <v>0</v>
      </c>
      <c r="P46" s="1385">
        <f>RBBD!K31</f>
        <v>0</v>
      </c>
      <c r="Q46" s="1385">
        <f>RBBD!L31</f>
        <v>0</v>
      </c>
      <c r="R46" s="1385">
        <f>RBBD!M31</f>
        <v>0</v>
      </c>
      <c r="S46" s="1385">
        <f>RBBD!N31</f>
        <v>0</v>
      </c>
      <c r="T46" s="1385">
        <f>RBBD!O31</f>
        <v>0</v>
      </c>
      <c r="U46" s="1385">
        <f>RBBD!P31</f>
        <v>0</v>
      </c>
      <c r="V46" s="1385">
        <f>RBBD!Q31</f>
        <v>0</v>
      </c>
      <c r="W46" s="1385">
        <f>RBBD!R31</f>
        <v>0</v>
      </c>
      <c r="X46" s="1385">
        <f>RBBD!S31</f>
        <v>0</v>
      </c>
      <c r="Y46" s="1385">
        <f>RBBD!T31</f>
        <v>0</v>
      </c>
      <c r="Z46" s="65"/>
      <c r="AA46" s="329">
        <f t="shared" si="5"/>
        <v>0</v>
      </c>
    </row>
    <row r="47" spans="2:27" hidden="1">
      <c r="B47" s="1385">
        <f>RBBD!B32</f>
        <v>0</v>
      </c>
      <c r="C47" s="1385">
        <f>RBBD!C32</f>
        <v>0</v>
      </c>
      <c r="D47" s="1385">
        <f>RBBD!D32</f>
        <v>0</v>
      </c>
      <c r="E47" s="1385">
        <f>RBBD!G32</f>
        <v>0</v>
      </c>
      <c r="F47" s="1385">
        <f>RBBD!H32</f>
        <v>0</v>
      </c>
      <c r="G47" s="1385">
        <f>RBBD!E32</f>
        <v>0</v>
      </c>
      <c r="H47" s="1385">
        <f>RBBD!F32</f>
        <v>0</v>
      </c>
      <c r="I47" s="1385">
        <f t="shared" si="2"/>
        <v>0</v>
      </c>
      <c r="J47" s="1385">
        <f t="shared" si="2"/>
        <v>0</v>
      </c>
      <c r="K47" s="1385">
        <f t="shared" si="2"/>
        <v>0</v>
      </c>
      <c r="L47" s="1385">
        <f t="shared" si="2"/>
        <v>0</v>
      </c>
      <c r="M47" s="1385">
        <f t="shared" si="3"/>
        <v>0</v>
      </c>
      <c r="N47" s="1385">
        <f>RBBD!I32</f>
        <v>0</v>
      </c>
      <c r="O47" s="1385">
        <f>RBBD!J32</f>
        <v>0</v>
      </c>
      <c r="P47" s="1385">
        <f>RBBD!K32</f>
        <v>0</v>
      </c>
      <c r="Q47" s="1385">
        <f>RBBD!L32</f>
        <v>0</v>
      </c>
      <c r="R47" s="1385">
        <f>RBBD!M32</f>
        <v>0</v>
      </c>
      <c r="S47" s="1385">
        <f>RBBD!N32</f>
        <v>0</v>
      </c>
      <c r="T47" s="1385">
        <f>RBBD!O32</f>
        <v>0</v>
      </c>
      <c r="U47" s="1385">
        <f>RBBD!P32</f>
        <v>0</v>
      </c>
      <c r="V47" s="1385">
        <f>RBBD!Q32</f>
        <v>0</v>
      </c>
      <c r="W47" s="1385">
        <f>RBBD!R32</f>
        <v>0</v>
      </c>
      <c r="X47" s="1385">
        <f>RBBD!S32</f>
        <v>0</v>
      </c>
      <c r="Y47" s="1385">
        <f>RBBD!T32</f>
        <v>0</v>
      </c>
      <c r="Z47" s="65"/>
      <c r="AA47" s="329">
        <f t="shared" si="5"/>
        <v>0</v>
      </c>
    </row>
    <row r="48" spans="2:27" hidden="1">
      <c r="B48" s="1385">
        <f>RBBD!B33</f>
        <v>0</v>
      </c>
      <c r="C48" s="1385">
        <f>RBBD!C33</f>
        <v>0</v>
      </c>
      <c r="D48" s="1385">
        <f>RBBD!D33</f>
        <v>0</v>
      </c>
      <c r="E48" s="1385">
        <f>RBBD!G33</f>
        <v>0</v>
      </c>
      <c r="F48" s="1385">
        <f>RBBD!H33</f>
        <v>0</v>
      </c>
      <c r="G48" s="1385">
        <f>RBBD!E33</f>
        <v>0</v>
      </c>
      <c r="H48" s="1385">
        <f>RBBD!F33</f>
        <v>0</v>
      </c>
      <c r="I48" s="1385">
        <f t="shared" si="2"/>
        <v>0</v>
      </c>
      <c r="J48" s="1385">
        <f t="shared" si="2"/>
        <v>0</v>
      </c>
      <c r="K48" s="1385">
        <f t="shared" si="2"/>
        <v>0</v>
      </c>
      <c r="L48" s="1385">
        <f t="shared" si="2"/>
        <v>0</v>
      </c>
      <c r="M48" s="1385">
        <f t="shared" si="3"/>
        <v>0</v>
      </c>
      <c r="N48" s="1385">
        <f>RBBD!I33</f>
        <v>0</v>
      </c>
      <c r="O48" s="1385">
        <f>RBBD!J33</f>
        <v>0</v>
      </c>
      <c r="P48" s="1385">
        <f>RBBD!K33</f>
        <v>0</v>
      </c>
      <c r="Q48" s="1385">
        <f>RBBD!L33</f>
        <v>0</v>
      </c>
      <c r="R48" s="1385">
        <f>RBBD!M33</f>
        <v>0</v>
      </c>
      <c r="S48" s="1385">
        <f>RBBD!N33</f>
        <v>0</v>
      </c>
      <c r="T48" s="1385">
        <f>RBBD!O33</f>
        <v>0</v>
      </c>
      <c r="U48" s="1385">
        <f>RBBD!P33</f>
        <v>0</v>
      </c>
      <c r="V48" s="1385">
        <f>RBBD!Q33</f>
        <v>0</v>
      </c>
      <c r="W48" s="1385">
        <f>RBBD!R33</f>
        <v>0</v>
      </c>
      <c r="X48" s="1385">
        <f>RBBD!S33</f>
        <v>0</v>
      </c>
      <c r="Y48" s="1385">
        <f>RBBD!T33</f>
        <v>0</v>
      </c>
      <c r="Z48" s="65"/>
      <c r="AA48" s="329">
        <f t="shared" si="5"/>
        <v>0</v>
      </c>
    </row>
    <row r="49" spans="2:27" hidden="1">
      <c r="B49" s="1385">
        <f>RBBD!B34</f>
        <v>0</v>
      </c>
      <c r="C49" s="1385">
        <f>RBBD!C34</f>
        <v>0</v>
      </c>
      <c r="D49" s="1385">
        <f>RBBD!D34</f>
        <v>0</v>
      </c>
      <c r="E49" s="1385">
        <f>RBBD!G34</f>
        <v>0</v>
      </c>
      <c r="F49" s="1385">
        <f>RBBD!H34</f>
        <v>0</v>
      </c>
      <c r="G49" s="1385">
        <f>RBBD!E34</f>
        <v>0</v>
      </c>
      <c r="H49" s="1385">
        <f>RBBD!F34</f>
        <v>0</v>
      </c>
      <c r="I49" s="1385">
        <f t="shared" si="2"/>
        <v>0</v>
      </c>
      <c r="J49" s="1385">
        <f t="shared" si="2"/>
        <v>0</v>
      </c>
      <c r="K49" s="1385">
        <f t="shared" si="2"/>
        <v>0</v>
      </c>
      <c r="L49" s="1385">
        <f t="shared" si="2"/>
        <v>0</v>
      </c>
      <c r="M49" s="1385">
        <f t="shared" si="3"/>
        <v>0</v>
      </c>
      <c r="N49" s="1385">
        <f>RBBD!I34</f>
        <v>0</v>
      </c>
      <c r="O49" s="1385">
        <f>RBBD!J34</f>
        <v>0</v>
      </c>
      <c r="P49" s="1385">
        <f>RBBD!K34</f>
        <v>0</v>
      </c>
      <c r="Q49" s="1385">
        <f>RBBD!L34</f>
        <v>0</v>
      </c>
      <c r="R49" s="1385">
        <f>RBBD!M34</f>
        <v>0</v>
      </c>
      <c r="S49" s="1385">
        <f>RBBD!N34</f>
        <v>0</v>
      </c>
      <c r="T49" s="1385">
        <f>RBBD!O34</f>
        <v>0</v>
      </c>
      <c r="U49" s="1385">
        <f>RBBD!P34</f>
        <v>0</v>
      </c>
      <c r="V49" s="1385">
        <f>RBBD!Q34</f>
        <v>0</v>
      </c>
      <c r="W49" s="1385">
        <f>RBBD!R34</f>
        <v>0</v>
      </c>
      <c r="X49" s="1385">
        <f>RBBD!S34</f>
        <v>0</v>
      </c>
      <c r="Y49" s="1385">
        <f>RBBD!T34</f>
        <v>0</v>
      </c>
      <c r="Z49" s="65"/>
      <c r="AA49" s="329">
        <f t="shared" si="5"/>
        <v>0</v>
      </c>
    </row>
    <row r="50" spans="2:27" hidden="1">
      <c r="B50" s="1385">
        <f>RBBD!B35</f>
        <v>0</v>
      </c>
      <c r="C50" s="1385">
        <f>RBBD!C35</f>
        <v>0</v>
      </c>
      <c r="D50" s="1385">
        <f>RBBD!D35</f>
        <v>0</v>
      </c>
      <c r="E50" s="1385">
        <f>RBBD!G35</f>
        <v>0</v>
      </c>
      <c r="F50" s="1385">
        <f>RBBD!H35</f>
        <v>0</v>
      </c>
      <c r="G50" s="1385">
        <f>RBBD!E35</f>
        <v>0</v>
      </c>
      <c r="H50" s="1385">
        <f>RBBD!F35</f>
        <v>0</v>
      </c>
      <c r="I50" s="1385">
        <f t="shared" si="2"/>
        <v>0</v>
      </c>
      <c r="J50" s="1385">
        <f t="shared" si="2"/>
        <v>0</v>
      </c>
      <c r="K50" s="1385">
        <f t="shared" si="2"/>
        <v>0</v>
      </c>
      <c r="L50" s="1385">
        <f t="shared" si="2"/>
        <v>0</v>
      </c>
      <c r="M50" s="1385">
        <f t="shared" si="3"/>
        <v>0</v>
      </c>
      <c r="N50" s="1385">
        <f>RBBD!I35</f>
        <v>0</v>
      </c>
      <c r="O50" s="1385">
        <f>RBBD!J35</f>
        <v>0</v>
      </c>
      <c r="P50" s="1385">
        <f>RBBD!K35</f>
        <v>0</v>
      </c>
      <c r="Q50" s="1385">
        <f>RBBD!L35</f>
        <v>0</v>
      </c>
      <c r="R50" s="1385">
        <f>RBBD!M35</f>
        <v>0</v>
      </c>
      <c r="S50" s="1385">
        <f>RBBD!N35</f>
        <v>0</v>
      </c>
      <c r="T50" s="1385">
        <f>RBBD!O35</f>
        <v>0</v>
      </c>
      <c r="U50" s="1385">
        <f>RBBD!P35</f>
        <v>0</v>
      </c>
      <c r="V50" s="1385">
        <f>RBBD!Q35</f>
        <v>0</v>
      </c>
      <c r="W50" s="1385">
        <f>RBBD!R35</f>
        <v>0</v>
      </c>
      <c r="X50" s="1385">
        <f>RBBD!S35</f>
        <v>0</v>
      </c>
      <c r="Y50" s="1385">
        <f>RBBD!T35</f>
        <v>0</v>
      </c>
      <c r="Z50" s="65"/>
      <c r="AA50" s="329">
        <f t="shared" si="5"/>
        <v>0</v>
      </c>
    </row>
    <row r="51" spans="2:27" hidden="1">
      <c r="B51" s="1385">
        <f>RBBD!B36</f>
        <v>0</v>
      </c>
      <c r="C51" s="1385">
        <f>RBBD!C36</f>
        <v>0</v>
      </c>
      <c r="D51" s="1385">
        <f>RBBD!D36</f>
        <v>0</v>
      </c>
      <c r="E51" s="1385">
        <f>RBBD!G36</f>
        <v>0</v>
      </c>
      <c r="F51" s="1385">
        <f>RBBD!H36</f>
        <v>0</v>
      </c>
      <c r="G51" s="1385">
        <f>RBBD!E36</f>
        <v>0</v>
      </c>
      <c r="H51" s="1385">
        <f>RBBD!F36</f>
        <v>0</v>
      </c>
      <c r="I51" s="1385">
        <f t="shared" si="2"/>
        <v>0</v>
      </c>
      <c r="J51" s="1385">
        <f t="shared" si="2"/>
        <v>0</v>
      </c>
      <c r="K51" s="1385">
        <f t="shared" si="2"/>
        <v>0</v>
      </c>
      <c r="L51" s="1385">
        <f t="shared" si="2"/>
        <v>0</v>
      </c>
      <c r="M51" s="1385">
        <f t="shared" si="3"/>
        <v>0</v>
      </c>
      <c r="N51" s="1385">
        <f>RBBD!I36</f>
        <v>0</v>
      </c>
      <c r="O51" s="1385">
        <f>RBBD!J36</f>
        <v>0</v>
      </c>
      <c r="P51" s="1385">
        <f>RBBD!K36</f>
        <v>0</v>
      </c>
      <c r="Q51" s="1385">
        <f>RBBD!L36</f>
        <v>0</v>
      </c>
      <c r="R51" s="1385">
        <f>RBBD!M36</f>
        <v>0</v>
      </c>
      <c r="S51" s="1385">
        <f>RBBD!N36</f>
        <v>0</v>
      </c>
      <c r="T51" s="1385">
        <f>RBBD!O36</f>
        <v>0</v>
      </c>
      <c r="U51" s="1385">
        <f>RBBD!P36</f>
        <v>0</v>
      </c>
      <c r="V51" s="1385">
        <f>RBBD!Q36</f>
        <v>0</v>
      </c>
      <c r="W51" s="1385">
        <f>RBBD!R36</f>
        <v>0</v>
      </c>
      <c r="X51" s="1385">
        <f>RBBD!S36</f>
        <v>0</v>
      </c>
      <c r="Y51" s="1385">
        <f>RBBD!T36</f>
        <v>0</v>
      </c>
      <c r="Z51" s="65"/>
      <c r="AA51" s="329">
        <f t="shared" si="5"/>
        <v>0</v>
      </c>
    </row>
    <row r="52" spans="2:27" hidden="1">
      <c r="B52" s="1385">
        <f>RBBD!B37</f>
        <v>0</v>
      </c>
      <c r="C52" s="1385">
        <f>RBBD!C37</f>
        <v>0</v>
      </c>
      <c r="D52" s="1385">
        <f>RBBD!D37</f>
        <v>0</v>
      </c>
      <c r="E52" s="1385">
        <f>RBBD!G37</f>
        <v>0</v>
      </c>
      <c r="F52" s="1385">
        <f>RBBD!H37</f>
        <v>0</v>
      </c>
      <c r="G52" s="1385">
        <f>RBBD!E37</f>
        <v>0</v>
      </c>
      <c r="H52" s="1385">
        <f>RBBD!F37</f>
        <v>0</v>
      </c>
      <c r="I52" s="1385">
        <f t="shared" si="2"/>
        <v>0</v>
      </c>
      <c r="J52" s="1385">
        <f t="shared" si="2"/>
        <v>0</v>
      </c>
      <c r="K52" s="1385">
        <f t="shared" si="2"/>
        <v>0</v>
      </c>
      <c r="L52" s="1385">
        <f t="shared" si="2"/>
        <v>0</v>
      </c>
      <c r="M52" s="1385">
        <f t="shared" si="3"/>
        <v>0</v>
      </c>
      <c r="N52" s="1385">
        <f>RBBD!I37</f>
        <v>0</v>
      </c>
      <c r="O52" s="1385">
        <f>RBBD!J37</f>
        <v>0</v>
      </c>
      <c r="P52" s="1385">
        <f>RBBD!K37</f>
        <v>0</v>
      </c>
      <c r="Q52" s="1385">
        <f>RBBD!L37</f>
        <v>0</v>
      </c>
      <c r="R52" s="1385">
        <f>RBBD!M37</f>
        <v>0</v>
      </c>
      <c r="S52" s="1385">
        <f>RBBD!N37</f>
        <v>0</v>
      </c>
      <c r="T52" s="1385">
        <f>RBBD!O37</f>
        <v>0</v>
      </c>
      <c r="U52" s="1385">
        <f>RBBD!P37</f>
        <v>0</v>
      </c>
      <c r="V52" s="1385">
        <f>RBBD!Q37</f>
        <v>0</v>
      </c>
      <c r="W52" s="1385">
        <f>RBBD!R37</f>
        <v>0</v>
      </c>
      <c r="X52" s="1385">
        <f>RBBD!S37</f>
        <v>0</v>
      </c>
      <c r="Y52" s="1385">
        <f>RBBD!T37</f>
        <v>0</v>
      </c>
      <c r="Z52" s="65"/>
      <c r="AA52" s="329">
        <f t="shared" si="5"/>
        <v>0</v>
      </c>
    </row>
    <row r="53" spans="2:27" hidden="1">
      <c r="B53" s="1385">
        <f>RBBD!B38</f>
        <v>0</v>
      </c>
      <c r="C53" s="1385">
        <f>RBBD!C38</f>
        <v>0</v>
      </c>
      <c r="D53" s="1385">
        <f>RBBD!D38</f>
        <v>0</v>
      </c>
      <c r="E53" s="1385">
        <f>RBBD!G38</f>
        <v>0</v>
      </c>
      <c r="F53" s="1385">
        <f>RBBD!H38</f>
        <v>0</v>
      </c>
      <c r="G53" s="1385">
        <f>RBBD!E38</f>
        <v>0</v>
      </c>
      <c r="H53" s="1385">
        <f>RBBD!F38</f>
        <v>0</v>
      </c>
      <c r="I53" s="1385">
        <f t="shared" si="2"/>
        <v>0</v>
      </c>
      <c r="J53" s="1385">
        <f t="shared" si="2"/>
        <v>0</v>
      </c>
      <c r="K53" s="1385">
        <f t="shared" si="2"/>
        <v>0</v>
      </c>
      <c r="L53" s="1385">
        <f t="shared" si="2"/>
        <v>0</v>
      </c>
      <c r="M53" s="1385">
        <f t="shared" si="3"/>
        <v>0</v>
      </c>
      <c r="N53" s="1385">
        <f>RBBD!I38</f>
        <v>0</v>
      </c>
      <c r="O53" s="1385">
        <f>RBBD!J38</f>
        <v>0</v>
      </c>
      <c r="P53" s="1385">
        <f>RBBD!K38</f>
        <v>0</v>
      </c>
      <c r="Q53" s="1385">
        <f>RBBD!L38</f>
        <v>0</v>
      </c>
      <c r="R53" s="1385">
        <f>RBBD!M38</f>
        <v>0</v>
      </c>
      <c r="S53" s="1385">
        <f>RBBD!N38</f>
        <v>0</v>
      </c>
      <c r="T53" s="1385">
        <f>RBBD!O38</f>
        <v>0</v>
      </c>
      <c r="U53" s="1385">
        <f>RBBD!P38</f>
        <v>0</v>
      </c>
      <c r="V53" s="1385">
        <f>RBBD!Q38</f>
        <v>0</v>
      </c>
      <c r="W53" s="1385">
        <f>RBBD!R38</f>
        <v>0</v>
      </c>
      <c r="X53" s="1385">
        <f>RBBD!S38</f>
        <v>0</v>
      </c>
      <c r="Y53" s="1385">
        <f>RBBD!T38</f>
        <v>0</v>
      </c>
      <c r="Z53" s="65"/>
      <c r="AA53" s="329">
        <f t="shared" si="5"/>
        <v>0</v>
      </c>
    </row>
    <row r="54" spans="2:27" hidden="1">
      <c r="B54" s="1385">
        <f>RBBD!B39</f>
        <v>0</v>
      </c>
      <c r="C54" s="1385">
        <f>RBBD!C39</f>
        <v>0</v>
      </c>
      <c r="D54" s="1385">
        <f>RBBD!D39</f>
        <v>0</v>
      </c>
      <c r="E54" s="1385">
        <f>RBBD!G39</f>
        <v>0</v>
      </c>
      <c r="F54" s="1385">
        <f>RBBD!H39</f>
        <v>0</v>
      </c>
      <c r="G54" s="1385">
        <f>RBBD!E39</f>
        <v>0</v>
      </c>
      <c r="H54" s="1385">
        <f>RBBD!F39</f>
        <v>0</v>
      </c>
      <c r="I54" s="1385">
        <f t="shared" si="2"/>
        <v>0</v>
      </c>
      <c r="J54" s="1385">
        <f t="shared" si="2"/>
        <v>0</v>
      </c>
      <c r="K54" s="1385">
        <f t="shared" si="2"/>
        <v>0</v>
      </c>
      <c r="L54" s="1385">
        <f t="shared" si="2"/>
        <v>0</v>
      </c>
      <c r="M54" s="1385">
        <f t="shared" si="3"/>
        <v>0</v>
      </c>
      <c r="N54" s="1385">
        <f>RBBD!I39</f>
        <v>0</v>
      </c>
      <c r="O54" s="1385">
        <f>RBBD!J39</f>
        <v>0</v>
      </c>
      <c r="P54" s="1385">
        <f>RBBD!K39</f>
        <v>0</v>
      </c>
      <c r="Q54" s="1385">
        <f>RBBD!L39</f>
        <v>0</v>
      </c>
      <c r="R54" s="1385">
        <f>RBBD!M39</f>
        <v>0</v>
      </c>
      <c r="S54" s="1385">
        <f>RBBD!N39</f>
        <v>0</v>
      </c>
      <c r="T54" s="1385">
        <f>RBBD!O39</f>
        <v>0</v>
      </c>
      <c r="U54" s="1385">
        <f>RBBD!P39</f>
        <v>0</v>
      </c>
      <c r="V54" s="1385">
        <f>RBBD!Q39</f>
        <v>0</v>
      </c>
      <c r="W54" s="1385">
        <f>RBBD!R39</f>
        <v>0</v>
      </c>
      <c r="X54" s="1385">
        <f>RBBD!S39</f>
        <v>0</v>
      </c>
      <c r="Y54" s="1385">
        <f>RBBD!T39</f>
        <v>0</v>
      </c>
      <c r="Z54" s="65"/>
      <c r="AA54" s="329">
        <f t="shared" si="5"/>
        <v>0</v>
      </c>
    </row>
    <row r="55" spans="2:27" hidden="1">
      <c r="B55" s="1385">
        <f>RBBD!B40</f>
        <v>0</v>
      </c>
      <c r="C55" s="1385">
        <f>RBBD!C40</f>
        <v>0</v>
      </c>
      <c r="D55" s="1385">
        <f>RBBD!D40</f>
        <v>0</v>
      </c>
      <c r="E55" s="1385">
        <f>RBBD!G40</f>
        <v>0</v>
      </c>
      <c r="F55" s="1385">
        <f>RBBD!H40</f>
        <v>0</v>
      </c>
      <c r="G55" s="1385">
        <f>RBBD!E40</f>
        <v>0</v>
      </c>
      <c r="H55" s="1385">
        <f>RBBD!F40</f>
        <v>0</v>
      </c>
      <c r="I55" s="1385">
        <f t="shared" si="2"/>
        <v>0</v>
      </c>
      <c r="J55" s="1385">
        <f t="shared" si="2"/>
        <v>0</v>
      </c>
      <c r="K55" s="1385">
        <f t="shared" si="2"/>
        <v>0</v>
      </c>
      <c r="L55" s="1385">
        <f t="shared" si="2"/>
        <v>0</v>
      </c>
      <c r="M55" s="1385">
        <f t="shared" si="3"/>
        <v>0</v>
      </c>
      <c r="N55" s="1385">
        <f>RBBD!I40</f>
        <v>0</v>
      </c>
      <c r="O55" s="1385">
        <f>RBBD!J40</f>
        <v>0</v>
      </c>
      <c r="P55" s="1385">
        <f>RBBD!K40</f>
        <v>0</v>
      </c>
      <c r="Q55" s="1385">
        <f>RBBD!L40</f>
        <v>0</v>
      </c>
      <c r="R55" s="1385">
        <f>RBBD!M40</f>
        <v>0</v>
      </c>
      <c r="S55" s="1385">
        <f>RBBD!N40</f>
        <v>0</v>
      </c>
      <c r="T55" s="1385">
        <f>RBBD!O40</f>
        <v>0</v>
      </c>
      <c r="U55" s="1385">
        <f>RBBD!P40</f>
        <v>0</v>
      </c>
      <c r="V55" s="1385">
        <f>RBBD!Q40</f>
        <v>0</v>
      </c>
      <c r="W55" s="1385">
        <f>RBBD!R40</f>
        <v>0</v>
      </c>
      <c r="X55" s="1385">
        <f>RBBD!S40</f>
        <v>0</v>
      </c>
      <c r="Y55" s="1385">
        <f>RBBD!T40</f>
        <v>0</v>
      </c>
      <c r="Z55" s="65"/>
      <c r="AA55" s="329">
        <f t="shared" si="5"/>
        <v>0</v>
      </c>
    </row>
    <row r="56" spans="2:27" hidden="1">
      <c r="B56" s="1385">
        <f>RBBD!B41</f>
        <v>0</v>
      </c>
      <c r="C56" s="1385">
        <f>RBBD!C41</f>
        <v>0</v>
      </c>
      <c r="D56" s="1385">
        <f>RBBD!D41</f>
        <v>0</v>
      </c>
      <c r="E56" s="1385">
        <f>RBBD!G41</f>
        <v>0</v>
      </c>
      <c r="F56" s="1385">
        <f>RBBD!H41</f>
        <v>0</v>
      </c>
      <c r="G56" s="1385">
        <f>RBBD!E41</f>
        <v>0</v>
      </c>
      <c r="H56" s="1385">
        <f>RBBD!F41</f>
        <v>0</v>
      </c>
      <c r="I56" s="1385">
        <f t="shared" si="2"/>
        <v>0</v>
      </c>
      <c r="J56" s="1385">
        <f t="shared" si="2"/>
        <v>0</v>
      </c>
      <c r="K56" s="1385">
        <f t="shared" si="2"/>
        <v>0</v>
      </c>
      <c r="L56" s="1385">
        <f t="shared" si="2"/>
        <v>0</v>
      </c>
      <c r="M56" s="1385">
        <f t="shared" si="3"/>
        <v>0</v>
      </c>
      <c r="N56" s="1385">
        <f>RBBD!I41</f>
        <v>0</v>
      </c>
      <c r="O56" s="1385">
        <f>RBBD!J41</f>
        <v>0</v>
      </c>
      <c r="P56" s="1385">
        <f>RBBD!K41</f>
        <v>0</v>
      </c>
      <c r="Q56" s="1385">
        <f>RBBD!L41</f>
        <v>0</v>
      </c>
      <c r="R56" s="1385">
        <f>RBBD!M41</f>
        <v>0</v>
      </c>
      <c r="S56" s="1385">
        <f>RBBD!N41</f>
        <v>0</v>
      </c>
      <c r="T56" s="1385">
        <f>RBBD!O41</f>
        <v>0</v>
      </c>
      <c r="U56" s="1385">
        <f>RBBD!P41</f>
        <v>0</v>
      </c>
      <c r="V56" s="1385">
        <f>RBBD!Q41</f>
        <v>0</v>
      </c>
      <c r="W56" s="1385">
        <f>RBBD!R41</f>
        <v>0</v>
      </c>
      <c r="X56" s="1385">
        <f>RBBD!S41</f>
        <v>0</v>
      </c>
      <c r="Y56" s="1385">
        <f>RBBD!T41</f>
        <v>0</v>
      </c>
      <c r="Z56" s="65"/>
      <c r="AA56" s="329">
        <f t="shared" si="5"/>
        <v>0</v>
      </c>
    </row>
    <row r="57" spans="2:27" hidden="1">
      <c r="B57" s="1385">
        <f>RBBD!B42</f>
        <v>0</v>
      </c>
      <c r="C57" s="1385">
        <f>RBBD!C42</f>
        <v>0</v>
      </c>
      <c r="D57" s="1385">
        <f>RBBD!D42</f>
        <v>0</v>
      </c>
      <c r="E57" s="1385">
        <f>RBBD!G42</f>
        <v>0</v>
      </c>
      <c r="F57" s="1385">
        <f>RBBD!H42</f>
        <v>0</v>
      </c>
      <c r="G57" s="1385">
        <f>RBBD!E42</f>
        <v>0</v>
      </c>
      <c r="H57" s="1385">
        <f>RBBD!F42</f>
        <v>0</v>
      </c>
      <c r="I57" s="1385">
        <f t="shared" si="2"/>
        <v>0</v>
      </c>
      <c r="J57" s="1385">
        <f t="shared" si="2"/>
        <v>0</v>
      </c>
      <c r="K57" s="1385">
        <f t="shared" si="2"/>
        <v>0</v>
      </c>
      <c r="L57" s="1385">
        <f t="shared" si="2"/>
        <v>0</v>
      </c>
      <c r="M57" s="1385">
        <f t="shared" si="3"/>
        <v>0</v>
      </c>
      <c r="N57" s="1385">
        <f>RBBD!I42</f>
        <v>0</v>
      </c>
      <c r="O57" s="1385">
        <f>RBBD!J42</f>
        <v>0</v>
      </c>
      <c r="P57" s="1385">
        <f>RBBD!K42</f>
        <v>0</v>
      </c>
      <c r="Q57" s="1385">
        <f>RBBD!L42</f>
        <v>0</v>
      </c>
      <c r="R57" s="1385">
        <f>RBBD!M42</f>
        <v>0</v>
      </c>
      <c r="S57" s="1385">
        <f>RBBD!N42</f>
        <v>0</v>
      </c>
      <c r="T57" s="1385">
        <f>RBBD!O42</f>
        <v>0</v>
      </c>
      <c r="U57" s="1385">
        <f>RBBD!P42</f>
        <v>0</v>
      </c>
      <c r="V57" s="1385">
        <f>RBBD!Q42</f>
        <v>0</v>
      </c>
      <c r="W57" s="1385">
        <f>RBBD!R42</f>
        <v>0</v>
      </c>
      <c r="X57" s="1385">
        <f>RBBD!S42</f>
        <v>0</v>
      </c>
      <c r="Y57" s="1385">
        <f>RBBD!T42</f>
        <v>0</v>
      </c>
      <c r="Z57" s="65"/>
      <c r="AA57" s="329">
        <f t="shared" si="5"/>
        <v>0</v>
      </c>
    </row>
    <row r="58" spans="2:27" hidden="1">
      <c r="B58" s="1385">
        <f>RBBD!B43</f>
        <v>0</v>
      </c>
      <c r="C58" s="1385">
        <f>RBBD!C43</f>
        <v>0</v>
      </c>
      <c r="D58" s="1385">
        <f>RBBD!D43</f>
        <v>0</v>
      </c>
      <c r="E58" s="1385">
        <f>RBBD!G43</f>
        <v>0</v>
      </c>
      <c r="F58" s="1385">
        <f>RBBD!H43</f>
        <v>0</v>
      </c>
      <c r="G58" s="1385">
        <f>RBBD!E43</f>
        <v>0</v>
      </c>
      <c r="H58" s="1385">
        <f>RBBD!F43</f>
        <v>0</v>
      </c>
      <c r="I58" s="1385">
        <f t="shared" si="2"/>
        <v>0</v>
      </c>
      <c r="J58" s="1385">
        <f t="shared" si="2"/>
        <v>0</v>
      </c>
      <c r="K58" s="1385">
        <f t="shared" si="2"/>
        <v>0</v>
      </c>
      <c r="L58" s="1385">
        <f t="shared" si="2"/>
        <v>0</v>
      </c>
      <c r="M58" s="1385">
        <f t="shared" si="3"/>
        <v>0</v>
      </c>
      <c r="N58" s="1385">
        <f>RBBD!I43</f>
        <v>0</v>
      </c>
      <c r="O58" s="1385">
        <f>RBBD!J43</f>
        <v>0</v>
      </c>
      <c r="P58" s="1385">
        <f>RBBD!K43</f>
        <v>0</v>
      </c>
      <c r="Q58" s="1385">
        <f>RBBD!L43</f>
        <v>0</v>
      </c>
      <c r="R58" s="1385">
        <f>RBBD!M43</f>
        <v>0</v>
      </c>
      <c r="S58" s="1385">
        <f>RBBD!N43</f>
        <v>0</v>
      </c>
      <c r="T58" s="1385">
        <f>RBBD!O43</f>
        <v>0</v>
      </c>
      <c r="U58" s="1385">
        <f>RBBD!P43</f>
        <v>0</v>
      </c>
      <c r="V58" s="1385">
        <f>RBBD!Q43</f>
        <v>0</v>
      </c>
      <c r="W58" s="1385">
        <f>RBBD!R43</f>
        <v>0</v>
      </c>
      <c r="X58" s="1385">
        <f>RBBD!S43</f>
        <v>0</v>
      </c>
      <c r="Y58" s="1385">
        <f>RBBD!T43</f>
        <v>0</v>
      </c>
      <c r="Z58" s="65"/>
      <c r="AA58" s="329">
        <f t="shared" si="5"/>
        <v>0</v>
      </c>
    </row>
    <row r="59" spans="2:27" hidden="1">
      <c r="B59" s="1385">
        <f>RBBD!B44</f>
        <v>0</v>
      </c>
      <c r="C59" s="1385">
        <f>RBBD!C44</f>
        <v>0</v>
      </c>
      <c r="D59" s="1385">
        <f>RBBD!D44</f>
        <v>0</v>
      </c>
      <c r="E59" s="1385">
        <f>RBBD!G44</f>
        <v>0</v>
      </c>
      <c r="F59" s="1385">
        <f>RBBD!H44</f>
        <v>0</v>
      </c>
      <c r="G59" s="1385">
        <f>RBBD!E44</f>
        <v>0</v>
      </c>
      <c r="H59" s="1385">
        <f>RBBD!F44</f>
        <v>0</v>
      </c>
      <c r="I59" s="1385">
        <f t="shared" si="2"/>
        <v>0</v>
      </c>
      <c r="J59" s="1385">
        <f t="shared" si="2"/>
        <v>0</v>
      </c>
      <c r="K59" s="1385">
        <f t="shared" si="2"/>
        <v>0</v>
      </c>
      <c r="L59" s="1385">
        <f t="shared" si="2"/>
        <v>0</v>
      </c>
      <c r="M59" s="1385">
        <f t="shared" si="3"/>
        <v>0</v>
      </c>
      <c r="N59" s="1385">
        <f>RBBD!I44</f>
        <v>0</v>
      </c>
      <c r="O59" s="1385">
        <f>RBBD!J44</f>
        <v>0</v>
      </c>
      <c r="P59" s="1385">
        <f>RBBD!K44</f>
        <v>0</v>
      </c>
      <c r="Q59" s="1385">
        <f>RBBD!L44</f>
        <v>0</v>
      </c>
      <c r="R59" s="1385">
        <f>RBBD!M44</f>
        <v>0</v>
      </c>
      <c r="S59" s="1385">
        <f>RBBD!N44</f>
        <v>0</v>
      </c>
      <c r="T59" s="1385">
        <f>RBBD!O44</f>
        <v>0</v>
      </c>
      <c r="U59" s="1385">
        <f>RBBD!P44</f>
        <v>0</v>
      </c>
      <c r="V59" s="1385">
        <f>RBBD!Q44</f>
        <v>0</v>
      </c>
      <c r="W59" s="1385">
        <f>RBBD!R44</f>
        <v>0</v>
      </c>
      <c r="X59" s="1385">
        <f>RBBD!S44</f>
        <v>0</v>
      </c>
      <c r="Y59" s="1385">
        <f>RBBD!T44</f>
        <v>0</v>
      </c>
      <c r="Z59" s="65"/>
      <c r="AA59" s="329">
        <f t="shared" si="5"/>
        <v>0</v>
      </c>
    </row>
    <row r="60" spans="2:27" hidden="1">
      <c r="B60" s="1385">
        <f>RBBD!B45</f>
        <v>0</v>
      </c>
      <c r="C60" s="1385">
        <f>RBBD!C45</f>
        <v>0</v>
      </c>
      <c r="D60" s="1385">
        <f>RBBD!D45</f>
        <v>0</v>
      </c>
      <c r="E60" s="1385">
        <f>RBBD!G45</f>
        <v>0</v>
      </c>
      <c r="F60" s="1385">
        <f>RBBD!H45</f>
        <v>0</v>
      </c>
      <c r="G60" s="1385">
        <f>RBBD!E45</f>
        <v>0</v>
      </c>
      <c r="H60" s="1385">
        <f>RBBD!F45</f>
        <v>0</v>
      </c>
      <c r="I60" s="1385">
        <f t="shared" si="2"/>
        <v>0</v>
      </c>
      <c r="J60" s="1385">
        <f t="shared" si="2"/>
        <v>0</v>
      </c>
      <c r="K60" s="1385">
        <f t="shared" si="2"/>
        <v>0</v>
      </c>
      <c r="L60" s="1385">
        <f t="shared" si="2"/>
        <v>0</v>
      </c>
      <c r="M60" s="1385">
        <f t="shared" si="3"/>
        <v>0</v>
      </c>
      <c r="N60" s="1385">
        <f>RBBD!I45</f>
        <v>0</v>
      </c>
      <c r="O60" s="1385">
        <f>RBBD!J45</f>
        <v>0</v>
      </c>
      <c r="P60" s="1385">
        <f>RBBD!K45</f>
        <v>0</v>
      </c>
      <c r="Q60" s="1385">
        <f>RBBD!L45</f>
        <v>0</v>
      </c>
      <c r="R60" s="1385">
        <f>RBBD!M45</f>
        <v>0</v>
      </c>
      <c r="S60" s="1385">
        <f>RBBD!N45</f>
        <v>0</v>
      </c>
      <c r="T60" s="1385">
        <f>RBBD!O45</f>
        <v>0</v>
      </c>
      <c r="U60" s="1385">
        <f>RBBD!P45</f>
        <v>0</v>
      </c>
      <c r="V60" s="1385">
        <f>RBBD!Q45</f>
        <v>0</v>
      </c>
      <c r="W60" s="1385">
        <f>RBBD!R45</f>
        <v>0</v>
      </c>
      <c r="X60" s="1385">
        <f>RBBD!S45</f>
        <v>0</v>
      </c>
      <c r="Y60" s="1385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86" t="s">
        <v>1249</v>
      </c>
      <c r="D62" s="1387"/>
      <c r="E62" s="1387" t="e">
        <f>SUM(I18:I61)/SUM(M18:M61)</f>
        <v>#DIV/0!</v>
      </c>
      <c r="F62" s="1387" t="e">
        <f>SUM(J18:J61)/SUM(M18:M61)</f>
        <v>#DIV/0!</v>
      </c>
      <c r="G62" s="1387" t="e">
        <f>SUM(K18:K61)/SUM(M18:M61)</f>
        <v>#DIV/0!</v>
      </c>
      <c r="H62" s="1387" t="e">
        <f>SUM(L18:L61)/SUM(M18:M61)</f>
        <v>#DIV/0!</v>
      </c>
      <c r="I62" s="1388">
        <f>SUM(I16:I61)</f>
        <v>0</v>
      </c>
      <c r="J62" s="1388">
        <f>SUM(J16:J61)</f>
        <v>0</v>
      </c>
      <c r="K62" s="1388">
        <f>SUM(K16:K61)</f>
        <v>0</v>
      </c>
      <c r="L62" s="1388">
        <f>SUM(L16:L61)</f>
        <v>0</v>
      </c>
      <c r="M62" s="1388">
        <f>SUM(M17:M61)</f>
        <v>0</v>
      </c>
      <c r="N62" s="1388">
        <f>SUM(N18:N61)</f>
        <v>0</v>
      </c>
      <c r="O62" s="1388">
        <f t="shared" ref="O62:Y62" si="6">SUM(O18:O61)</f>
        <v>0</v>
      </c>
      <c r="P62" s="1388">
        <f t="shared" si="6"/>
        <v>0</v>
      </c>
      <c r="Q62" s="1388">
        <f t="shared" si="6"/>
        <v>0</v>
      </c>
      <c r="R62" s="1388">
        <f t="shared" si="6"/>
        <v>0</v>
      </c>
      <c r="S62" s="1388">
        <f t="shared" si="6"/>
        <v>0</v>
      </c>
      <c r="T62" s="1388">
        <f t="shared" si="6"/>
        <v>0</v>
      </c>
      <c r="U62" s="1388">
        <f t="shared" si="6"/>
        <v>0</v>
      </c>
      <c r="V62" s="1388">
        <f t="shared" si="6"/>
        <v>0</v>
      </c>
      <c r="W62" s="1388">
        <f t="shared" si="6"/>
        <v>0</v>
      </c>
      <c r="X62" s="1388">
        <f t="shared" si="6"/>
        <v>0</v>
      </c>
      <c r="Y62" s="1388">
        <f t="shared" si="6"/>
        <v>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78" t="s">
        <v>1250</v>
      </c>
      <c r="C67" s="1378"/>
      <c r="D67" s="1378"/>
      <c r="E67" s="1378"/>
      <c r="F67" s="1378"/>
      <c r="G67" s="1378"/>
      <c r="H67" s="1378"/>
      <c r="I67" s="1378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8"/>
      <c r="E69" s="1389">
        <f>IF(MONTH(E70)=7,E70,0)</f>
        <v>0</v>
      </c>
      <c r="F69" s="1389">
        <f t="shared" ref="F69:P69" si="7">IF(MONTH(F70)=7,F70,0)</f>
        <v>0</v>
      </c>
      <c r="G69" s="1389">
        <f t="shared" si="7"/>
        <v>44378</v>
      </c>
      <c r="H69" s="1389">
        <f t="shared" si="7"/>
        <v>0</v>
      </c>
      <c r="I69" s="1389">
        <f t="shared" si="7"/>
        <v>0</v>
      </c>
      <c r="J69" s="1389">
        <f t="shared" si="7"/>
        <v>0</v>
      </c>
      <c r="K69" s="1389">
        <f t="shared" si="7"/>
        <v>0</v>
      </c>
      <c r="L69" s="1389">
        <f t="shared" si="7"/>
        <v>0</v>
      </c>
      <c r="M69" s="1389">
        <f t="shared" si="7"/>
        <v>0</v>
      </c>
      <c r="N69" s="1389">
        <f t="shared" si="7"/>
        <v>0</v>
      </c>
      <c r="O69" s="1389">
        <f t="shared" si="7"/>
        <v>0</v>
      </c>
      <c r="P69" s="1389">
        <f t="shared" si="7"/>
        <v>0</v>
      </c>
      <c r="Q69" s="807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1251</v>
      </c>
      <c r="E70" s="1390">
        <f>G76</f>
        <v>44317</v>
      </c>
      <c r="F70" s="1390">
        <f>G77</f>
        <v>44348</v>
      </c>
      <c r="G70" s="1390">
        <f>G78</f>
        <v>44378</v>
      </c>
      <c r="H70" s="1390">
        <f>G79</f>
        <v>44409</v>
      </c>
      <c r="I70" s="1390">
        <f>G80</f>
        <v>44440</v>
      </c>
      <c r="J70" s="1390">
        <f>G81</f>
        <v>44470</v>
      </c>
      <c r="K70" s="1390">
        <f>G82</f>
        <v>44501</v>
      </c>
      <c r="L70" s="1390">
        <f>G83</f>
        <v>44531</v>
      </c>
      <c r="M70" s="1390">
        <f>G84</f>
        <v>44562</v>
      </c>
      <c r="N70" s="1390">
        <f>G85</f>
        <v>44593</v>
      </c>
      <c r="O70" s="1390">
        <f>G86</f>
        <v>44621</v>
      </c>
      <c r="P70" s="1390">
        <f>G87</f>
        <v>44652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91" t="s">
        <v>1252</v>
      </c>
      <c r="D71" s="1392">
        <f>SUM(E71:P71)</f>
        <v>0</v>
      </c>
      <c r="E71" s="1393">
        <f>SUMIF($G$76:$G$420,E70,$N$76:$N$420)</f>
        <v>0</v>
      </c>
      <c r="F71" s="1393">
        <f t="shared" ref="F71:P71" si="8">SUMIF($G$76:$G$420,F70,$N$76:$N$420)</f>
        <v>0</v>
      </c>
      <c r="G71" s="1393">
        <f t="shared" si="8"/>
        <v>0</v>
      </c>
      <c r="H71" s="1393">
        <f t="shared" si="8"/>
        <v>0</v>
      </c>
      <c r="I71" s="1393">
        <f t="shared" si="8"/>
        <v>0</v>
      </c>
      <c r="J71" s="1393">
        <f t="shared" si="8"/>
        <v>0</v>
      </c>
      <c r="K71" s="1393">
        <f t="shared" si="8"/>
        <v>0</v>
      </c>
      <c r="L71" s="1393">
        <f t="shared" si="8"/>
        <v>0</v>
      </c>
      <c r="M71" s="1393">
        <f t="shared" si="8"/>
        <v>0</v>
      </c>
      <c r="N71" s="1393">
        <f t="shared" si="8"/>
        <v>0</v>
      </c>
      <c r="O71" s="1393">
        <f t="shared" si="8"/>
        <v>0</v>
      </c>
      <c r="P71" s="1393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91" t="s">
        <v>1253</v>
      </c>
      <c r="D72" s="1392">
        <f>SUM(E72:P72)</f>
        <v>0</v>
      </c>
      <c r="E72" s="1393">
        <f>SUMIF(Indexador!$B$25:$B$48,'Rede Básica + Ajuste'!E70,Indexador!$J$25:$J$48)</f>
        <v>0</v>
      </c>
      <c r="F72" s="1393">
        <f>SUMIF(Indexador!$B$25:$B$48,'Rede Básica + Ajuste'!F70,Indexador!$J$25:$J$48)</f>
        <v>0</v>
      </c>
      <c r="G72" s="1393">
        <f>SUMIF(Indexador!$B$25:$B$48,'Rede Básica + Ajuste'!G70,Indexador!$J$25:$J$48)</f>
        <v>0</v>
      </c>
      <c r="H72" s="1393">
        <f>SUMIF(Indexador!$B$25:$B$48,'Rede Básica + Ajuste'!H70,Indexador!$J$25:$J$48)</f>
        <v>0</v>
      </c>
      <c r="I72" s="1393">
        <f>SUMIF(Indexador!$B$25:$B$48,'Rede Básica + Ajuste'!I70,Indexador!$J$25:$J$48)</f>
        <v>0</v>
      </c>
      <c r="J72" s="1393">
        <f>SUMIF(Indexador!$B$25:$B$48,'Rede Básica + Ajuste'!J70,Indexador!$J$25:$J$48)</f>
        <v>0</v>
      </c>
      <c r="K72" s="1393">
        <f>SUMIF(Indexador!$B$25:$B$48,'Rede Básica + Ajuste'!K70,Indexador!$J$25:$J$48)</f>
        <v>0</v>
      </c>
      <c r="L72" s="1393">
        <f>SUMIF(Indexador!$B$25:$B$48,'Rede Básica + Ajuste'!L70,Indexador!$J$25:$J$48)</f>
        <v>0</v>
      </c>
      <c r="M72" s="1393">
        <f>SUMIF(Indexador!$B$25:$B$48,'Rede Básica + Ajuste'!M70,Indexador!$J$25:$J$48)</f>
        <v>0</v>
      </c>
      <c r="N72" s="1393">
        <f>SUMIF(Indexador!$B$25:$B$48,'Rede Básica + Ajuste'!N70,Indexador!$J$25:$J$48)</f>
        <v>0</v>
      </c>
      <c r="O72" s="1393">
        <f>SUMIF(Indexador!$B$25:$B$48,'Rede Básica + Ajuste'!O70,Indexador!$J$25:$J$48)</f>
        <v>0</v>
      </c>
      <c r="P72" s="1393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24" t="s">
        <v>1254</v>
      </c>
      <c r="K74" s="1725"/>
      <c r="L74" s="1723" t="s">
        <v>1255</v>
      </c>
      <c r="M74" s="1723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26" t="s">
        <v>1237</v>
      </c>
      <c r="D75" s="1727"/>
      <c r="F75" s="275"/>
      <c r="G75" s="1394" t="s">
        <v>715</v>
      </c>
      <c r="H75" s="1395" t="s">
        <v>1256</v>
      </c>
      <c r="I75" s="1395" t="s">
        <v>1257</v>
      </c>
      <c r="J75" s="1396" t="s">
        <v>1258</v>
      </c>
      <c r="K75" s="1396" t="s">
        <v>1259</v>
      </c>
      <c r="L75" s="1396" t="s">
        <v>1258</v>
      </c>
      <c r="M75" s="1396" t="s">
        <v>1259</v>
      </c>
      <c r="N75" s="282" t="s">
        <v>1260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91" t="s">
        <v>1261</v>
      </c>
      <c r="D76" s="1397">
        <f>IF(D18="Ponta",B18,0)</f>
        <v>0</v>
      </c>
      <c r="E76" s="18"/>
      <c r="F76" s="275"/>
      <c r="G76" s="1398">
        <f>DATE(YEAR(CAPA!C14),MONTH(CAPA!C14),1)</f>
        <v>44317</v>
      </c>
      <c r="H76" s="277">
        <f>SUMIFS($N$18:$N$60,$B$18:$B$60,$D$76,$D$18:$D$60,"Ponta")</f>
        <v>0</v>
      </c>
      <c r="I76" s="277">
        <f>SUMIFS($N$18:$N$60,$B$18:$B$60,$D$76,$D$18:$D$60,"Fora Ponta")</f>
        <v>0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399">
        <f>IF(MONTH(DataRevRea)=7,'Rede Básica + Ajuste'!J76,IF(G76&lt;$Q$69,(SUMIFS($E$18:$E$60,$B$18:$B$60,$D$76,$D$18:$D$60,"Ponta")),(SUMIFS($F$18:$F$60,$B$18:$B$60,$D$76,$D$18:$D$60,"Ponta"))))</f>
        <v>0</v>
      </c>
      <c r="M76" s="1399">
        <f>IF(MONTH(DataRevRea)=7,'Rede Básica + Ajuste'!K76,IF(G76&lt;$Q$69,(SUMIFS($E$18:$E$60,$B$18:$B$60,$D$76,$D$18:$D$60,"Fora Ponta")),(SUMIFS($F$18:$F$60,$B$18:$B$60,$D$76,$D$18:$D$60,"Fora Ponta"))))</f>
        <v>0</v>
      </c>
      <c r="N76" s="1400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44348</v>
      </c>
      <c r="H77" s="277">
        <f>SUMIFS($O$18:$O$60,$B$18:$B$60,$D$76,$D$18:$D$60,"Ponta")</f>
        <v>0</v>
      </c>
      <c r="I77" s="277">
        <f>SUMIFS($O$18:$O$60,$B$18:$B$60,$D$76,$D$18:$D$60,"Fora Ponta")</f>
        <v>0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401" t="s">
        <v>1262</v>
      </c>
      <c r="E78" s="1402" t="s">
        <v>1263</v>
      </c>
      <c r="F78" s="275"/>
      <c r="G78" s="276">
        <f t="shared" ref="G78:G87" si="12">DATE(YEAR(G77),MONTH(G77)+1,1)</f>
        <v>44378</v>
      </c>
      <c r="H78" s="277">
        <f>SUMIFS($P$18:$P$60,$B$18:$B$60,$D$76,$D$18:$D$60,"Ponta")</f>
        <v>0</v>
      </c>
      <c r="I78" s="277">
        <f>SUMIFS($P$18:$P$60,$B$18:$B$60,$D$76,$D$18:$D$60,"Fora Ponta")</f>
        <v>0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403" t="str">
        <f>"Cobertura "&amp;YEAR(CAPA!C14)</f>
        <v>Cobertura 2021</v>
      </c>
      <c r="D79" s="1404">
        <f>SUMPRODUCT(H76:H87,J76:J87)</f>
        <v>0</v>
      </c>
      <c r="E79" s="1404">
        <f>SUMPRODUCT(I76:I87,K76:K87)</f>
        <v>0</v>
      </c>
      <c r="F79" s="275"/>
      <c r="G79" s="276">
        <f t="shared" si="12"/>
        <v>44409</v>
      </c>
      <c r="H79" s="277">
        <f>SUMIFS($Q$18:$Q$60,$B$18:$B$60,$D$76,$D$18:$D$60,"Ponta")</f>
        <v>0</v>
      </c>
      <c r="I79" s="277">
        <f>SUMIFS($Q$18:$Q$60,$B$18:$B$60,$D$76,$D$18:$D$60,"Fora Ponta")</f>
        <v>0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403" t="s">
        <v>1264</v>
      </c>
      <c r="D80" s="1404">
        <f>SUMPRODUCT(H76:H87,L76:L87)</f>
        <v>0</v>
      </c>
      <c r="E80" s="1404">
        <f>SUMPRODUCT(I76:I87,M76:M87)</f>
        <v>0</v>
      </c>
      <c r="F80" s="275"/>
      <c r="G80" s="276">
        <f t="shared" si="12"/>
        <v>44440</v>
      </c>
      <c r="H80" s="277">
        <f>SUMIFS($R$18:$R$60,$B$18:$B$60,$D$76,$D$18:$D$60,"Ponta")</f>
        <v>0</v>
      </c>
      <c r="I80" s="277">
        <f>SUMIFS($R$18:$R$60,$B$18:$B$60,$D$76,$D$18:$D$60,"Fora Ponta")</f>
        <v>0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44470</v>
      </c>
      <c r="H81" s="277">
        <f>SUMIFS($S$18:$S$60,$B$18:$B$60,$D$76,$D$18:$D$60,"Ponta")</f>
        <v>0</v>
      </c>
      <c r="I81" s="277">
        <f>SUMIFS($S$18:$S$60,$B$18:$B$60,$D$76,$D$18:$D$60,"Fora Ponta")</f>
        <v>0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44501</v>
      </c>
      <c r="H82" s="277">
        <f>SUMIFS($T$18:$T$60,$B$18:$B$60,$D$76,$D$18:$D$60,"Ponta")</f>
        <v>0</v>
      </c>
      <c r="I82" s="277">
        <f>SUMIFS($T$18:$T$60,$B$18:$B$60,$D$76,$D$18:$D$60,"Fora Ponta")</f>
        <v>0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44531</v>
      </c>
      <c r="H83" s="277">
        <f>SUMIFS($U$18:$U$60,$B$18:$B$60,$D$76,$D$18:$D$60,"Ponta")</f>
        <v>0</v>
      </c>
      <c r="I83" s="277">
        <f>SUMIFS($U$18:$U$60,$B$18:$B$60,$D$76,$D$18:$D$60,"Fora Ponta")</f>
        <v>0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44562</v>
      </c>
      <c r="H84" s="277">
        <f>SUMIFS($V$18:$V$60,$B$18:$B$60,$D$76,$D$18:$D$60,"Ponta")</f>
        <v>0</v>
      </c>
      <c r="I84" s="277">
        <f>SUMIFS($V$18:$V$60,$B$18:$B$60,$D$76,$D$18:$D$60,"Fora Ponta")</f>
        <v>0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44593</v>
      </c>
      <c r="H85" s="277">
        <f>SUMIFS($W$18:$W$60,$B$18:$B$60,$D$76,$D$18:$D$60,"Ponta")</f>
        <v>0</v>
      </c>
      <c r="I85" s="277">
        <f>SUMIFS($W$18:$W$60,$B$18:$B$60,$D$76,$D$18:$D$60,"Fora Ponta")</f>
        <v>0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44621</v>
      </c>
      <c r="H86" s="277">
        <f>SUMIFS($X$18:$X$60,$B$18:$B$60,$D$76,$D$18:$D$60,"Ponta")</f>
        <v>0</v>
      </c>
      <c r="I86" s="277">
        <f>SUMIFS($X$18:$X$60,$B$18:$B$60,$D$76,$D$18:$D$60,"Fora Ponta")</f>
        <v>0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405">
        <f t="shared" si="12"/>
        <v>44652</v>
      </c>
      <c r="H87" s="1406">
        <f>SUMIFS($Y$18:$Y$60,$B$18:$B$60,$D$76,$D$18:$D$60,"Ponta")</f>
        <v>0</v>
      </c>
      <c r="I87" s="1406">
        <f>SUMIFS($Y$18:$Y$60,$B$18:$B$60,$D$76,$D$18:$D$60,"Fora Ponta")</f>
        <v>0</v>
      </c>
      <c r="J87" s="1406">
        <f t="shared" si="9"/>
        <v>0</v>
      </c>
      <c r="K87" s="1406">
        <f t="shared" si="10"/>
        <v>0</v>
      </c>
      <c r="L87" s="1406">
        <f>IF(MONTH(DataRevRea)=7,'Rede Básica + Ajuste'!J87,IF(G87&lt;$Q$69,(SUMIFS($E$18:$E$60,$B$18:$B$60,$D$76,$D$18:$D$60,"Ponta")),(SUMIFS($F$18:$F$60,$B$18:$B$60,$D$76,$D$18:$D$60,"Ponta"))))</f>
        <v>0</v>
      </c>
      <c r="M87" s="1406">
        <f>IF(MONTH(DataRevRea)=7,'Rede Básica + Ajuste'!K87,IF(G87&lt;$Q$69,(SUMIFS($E$18:$E$60,$B$18:$B$60,$D$76,$D$18:$D$60,"Fora Ponta")),(SUMIFS($F$18:$F$60,$B$18:$B$60,$D$76,$D$18:$D$60,"Fora Ponta"))))</f>
        <v>0</v>
      </c>
      <c r="N87" s="1407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24" t="s">
        <v>1254</v>
      </c>
      <c r="K89" s="1725"/>
      <c r="L89" s="1723" t="s">
        <v>1255</v>
      </c>
      <c r="M89" s="1723"/>
      <c r="N89" s="283"/>
    </row>
    <row r="90" spans="2:50" ht="15.75">
      <c r="C90" s="1726" t="s">
        <v>1265</v>
      </c>
      <c r="D90" s="1727"/>
      <c r="F90" s="275"/>
      <c r="G90" s="1394" t="s">
        <v>715</v>
      </c>
      <c r="H90" s="1395" t="s">
        <v>1256</v>
      </c>
      <c r="I90" s="1395" t="s">
        <v>1257</v>
      </c>
      <c r="J90" s="1396" t="s">
        <v>1258</v>
      </c>
      <c r="K90" s="1396" t="s">
        <v>1259</v>
      </c>
      <c r="L90" s="1396" t="s">
        <v>1258</v>
      </c>
      <c r="M90" s="1396" t="s">
        <v>1259</v>
      </c>
      <c r="N90" s="282" t="s">
        <v>1260</v>
      </c>
    </row>
    <row r="91" spans="2:50" ht="15.75">
      <c r="C91" s="1391" t="s">
        <v>1261</v>
      </c>
      <c r="D91" s="1397">
        <f>IF(D18="Ponta",B18,0)</f>
        <v>0</v>
      </c>
      <c r="E91" s="18"/>
      <c r="F91" s="275"/>
      <c r="G91" s="1398">
        <f>G76</f>
        <v>44317</v>
      </c>
      <c r="H91" s="277">
        <f>H76</f>
        <v>0</v>
      </c>
      <c r="I91" s="277">
        <f>I76</f>
        <v>0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399">
        <f>IF(MONTH(DataRevRea)=7,'Rede Básica + Ajuste'!J91,IF(G91&lt;$Q$69,(SUMIFS($G$18:$G$60,$B$18:$B$60,$D$91,$D$18:$D$60,"Ponta")),(SUMIFS($H$18:$H$60,$B$18:$B$60,$D$91,$D$18:$D$60,"Ponta"))))</f>
        <v>0</v>
      </c>
      <c r="M91" s="1399">
        <f>IF(MONTH(DataRevRea)=7,'Rede Básica + Ajuste'!K91,IF(G91&lt;$Q$69,(SUMIFS($G$18:$G$60,$B$18:$B$60,$D$91,$D$18:$D$60,"Fora Ponta")),(SUMIFS($H$18:$H$60,$B$18:$B$60,$D$91,$D$18:$D$60,"Fora Ponta"))))</f>
        <v>0</v>
      </c>
      <c r="N91" s="1400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44348</v>
      </c>
      <c r="H92" s="277">
        <f t="shared" si="13"/>
        <v>0</v>
      </c>
      <c r="I92" s="277">
        <f t="shared" si="13"/>
        <v>0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401" t="s">
        <v>1262</v>
      </c>
      <c r="E93" s="1402" t="s">
        <v>1263</v>
      </c>
      <c r="F93" s="275"/>
      <c r="G93" s="276">
        <f t="shared" si="13"/>
        <v>44378</v>
      </c>
      <c r="H93" s="277">
        <f t="shared" si="13"/>
        <v>0</v>
      </c>
      <c r="I93" s="277">
        <f t="shared" si="13"/>
        <v>0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403" t="str">
        <f>C79</f>
        <v>Cobertura 2021</v>
      </c>
      <c r="D94" s="1404">
        <f>SUMPRODUCT(H91:H102,J91:J102)</f>
        <v>0</v>
      </c>
      <c r="E94" s="1404">
        <f>SUMPRODUCT(I91:I102,K91:K102)</f>
        <v>0</v>
      </c>
      <c r="F94" s="275"/>
      <c r="G94" s="276">
        <f t="shared" si="13"/>
        <v>44409</v>
      </c>
      <c r="H94" s="277">
        <f t="shared" si="13"/>
        <v>0</v>
      </c>
      <c r="I94" s="277">
        <f t="shared" si="13"/>
        <v>0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403" t="s">
        <v>1264</v>
      </c>
      <c r="D95" s="1404">
        <f>SUMPRODUCT(H91:H102,L91:L102)</f>
        <v>0</v>
      </c>
      <c r="E95" s="1404">
        <f>SUMPRODUCT(I91:I102,M91:M102)</f>
        <v>0</v>
      </c>
      <c r="F95" s="275"/>
      <c r="G95" s="276">
        <f t="shared" si="13"/>
        <v>44440</v>
      </c>
      <c r="H95" s="277">
        <f t="shared" si="13"/>
        <v>0</v>
      </c>
      <c r="I95" s="277">
        <f t="shared" si="13"/>
        <v>0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44470</v>
      </c>
      <c r="H96" s="277">
        <f t="shared" si="13"/>
        <v>0</v>
      </c>
      <c r="I96" s="277">
        <f t="shared" si="13"/>
        <v>0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44501</v>
      </c>
      <c r="H97" s="277">
        <f t="shared" si="13"/>
        <v>0</v>
      </c>
      <c r="I97" s="277">
        <f t="shared" si="13"/>
        <v>0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44531</v>
      </c>
      <c r="H98" s="277">
        <f t="shared" si="13"/>
        <v>0</v>
      </c>
      <c r="I98" s="277">
        <f t="shared" si="13"/>
        <v>0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44562</v>
      </c>
      <c r="H99" s="277">
        <f t="shared" si="13"/>
        <v>0</v>
      </c>
      <c r="I99" s="277">
        <f t="shared" si="13"/>
        <v>0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44593</v>
      </c>
      <c r="H100" s="277">
        <f t="shared" si="13"/>
        <v>0</v>
      </c>
      <c r="I100" s="277">
        <f t="shared" si="13"/>
        <v>0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44621</v>
      </c>
      <c r="H101" s="277">
        <f t="shared" si="13"/>
        <v>0</v>
      </c>
      <c r="I101" s="277">
        <f t="shared" si="13"/>
        <v>0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405">
        <f t="shared" si="13"/>
        <v>44652</v>
      </c>
      <c r="H102" s="1406">
        <f t="shared" si="13"/>
        <v>0</v>
      </c>
      <c r="I102" s="1406">
        <f t="shared" si="13"/>
        <v>0</v>
      </c>
      <c r="J102" s="1406">
        <f t="shared" si="14"/>
        <v>0</v>
      </c>
      <c r="K102" s="1406">
        <f t="shared" si="15"/>
        <v>0</v>
      </c>
      <c r="L102" s="1406">
        <f>IF(MONTH(DataRevRea)=7,'Rede Básica + Ajuste'!J102,IF(G102&lt;$Q$69,(SUMIFS($G$18:$G$60,$B$18:$B$60,$D$91,$D$18:$D$60,"Ponta")),(SUMIFS($H$18:$H$60,$B$18:$B$60,$D$91,$D$18:$D$60,"Ponta"))))</f>
        <v>0</v>
      </c>
      <c r="M102" s="1406">
        <f>IF(MONTH(DataRevRea)=7,'Rede Básica + Ajuste'!K102,IF(G102&lt;$Q$69,(SUMIFS($G$18:$G$60,$B$18:$B$60,$D$91,$D$18:$D$60,"Fora Ponta")),(SUMIFS($H$18:$H$60,$B$18:$B$60,$D$91,$D$18:$D$60,"Fora Ponta"))))</f>
        <v>0</v>
      </c>
      <c r="N102" s="1407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24" t="s">
        <v>1254</v>
      </c>
      <c r="K104" s="1725"/>
      <c r="L104" s="1723" t="s">
        <v>1255</v>
      </c>
      <c r="M104" s="1723"/>
      <c r="N104" s="283"/>
    </row>
    <row r="105" spans="3:14" ht="15.75">
      <c r="C105" s="1726" t="s">
        <v>1237</v>
      </c>
      <c r="D105" s="1727"/>
      <c r="F105" s="275"/>
      <c r="G105" s="1394" t="s">
        <v>715</v>
      </c>
      <c r="H105" s="1395" t="s">
        <v>1256</v>
      </c>
      <c r="I105" s="1395" t="s">
        <v>1257</v>
      </c>
      <c r="J105" s="1396" t="s">
        <v>1258</v>
      </c>
      <c r="K105" s="1396" t="s">
        <v>1259</v>
      </c>
      <c r="L105" s="1396" t="s">
        <v>1258</v>
      </c>
      <c r="M105" s="1396" t="s">
        <v>1259</v>
      </c>
      <c r="N105" s="282" t="s">
        <v>1260</v>
      </c>
    </row>
    <row r="106" spans="3:14" ht="15.75">
      <c r="C106" s="1391" t="s">
        <v>1261</v>
      </c>
      <c r="D106" s="1408">
        <f>IF(D19="Ponta",B19,0)</f>
        <v>0</v>
      </c>
      <c r="E106" s="18"/>
      <c r="F106" s="275"/>
      <c r="G106" s="1398">
        <f>G91</f>
        <v>44317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99">
        <f>IF(MONTH(DataRevRea)=7,'Rede Básica + Ajuste'!J106,IF(G106&lt;$Q$69,(SUMIFS($E$18:$E$60,$B$18:$B$60,$D$106,$D$18:$D$60,"Ponta")),(SUMIFS($F$18:$F$60,$B$18:$B$60,$D$106,$D$18:$D$60,"Ponta"))))</f>
        <v>0</v>
      </c>
      <c r="M106" s="1399">
        <f>IF(MONTH(DataRevRea)=7,'Rede Básica + Ajuste'!K106,IF(G106&lt;$Q$69,(SUMIFS($E$18:$E$60,$B$18:$B$60,$D$106,$D$18:$D$60,"Fora Ponta")),(SUMIFS($F$18:$F$60,$B$18:$B$60,$D$106,$D$18:$D$60,"Fora Ponta"))))</f>
        <v>0</v>
      </c>
      <c r="N106" s="1400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44348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401" t="s">
        <v>1262</v>
      </c>
      <c r="E108" s="1402" t="s">
        <v>1263</v>
      </c>
      <c r="F108" s="275"/>
      <c r="G108" s="276">
        <f t="shared" si="17"/>
        <v>44378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403" t="str">
        <f>C94</f>
        <v>Cobertura 2021</v>
      </c>
      <c r="D109" s="1404">
        <f>SUMPRODUCT(H106:H117,J106:J117)</f>
        <v>0</v>
      </c>
      <c r="E109" s="1404">
        <f>SUMPRODUCT(I106:I117,K106:K117)</f>
        <v>0</v>
      </c>
      <c r="F109" s="275"/>
      <c r="G109" s="276">
        <f t="shared" si="17"/>
        <v>44409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403" t="s">
        <v>1264</v>
      </c>
      <c r="D110" s="1404">
        <f>SUMPRODUCT(H106:H117,L106:L117)</f>
        <v>0</v>
      </c>
      <c r="E110" s="1404">
        <f>SUMPRODUCT(I106:I117,M106:M117)</f>
        <v>0</v>
      </c>
      <c r="F110" s="275"/>
      <c r="G110" s="276">
        <f t="shared" si="17"/>
        <v>44440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44470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44501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44531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44562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44593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44621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405">
        <f t="shared" si="17"/>
        <v>44652</v>
      </c>
      <c r="H117" s="1406">
        <f>SUMIFS($Y$18:$Y$60,$B$18:$B$60,$D$106,$D$18:$D$60,"Ponta")</f>
        <v>0</v>
      </c>
      <c r="I117" s="1406">
        <f>SUMIFS($Y$18:$Y$60,$B$18:$B$60,$D$106,$D$18:$D$60,"Fora Ponta")</f>
        <v>0</v>
      </c>
      <c r="J117" s="1406">
        <f t="shared" si="18"/>
        <v>0</v>
      </c>
      <c r="K117" s="1406">
        <f t="shared" si="19"/>
        <v>0</v>
      </c>
      <c r="L117" s="1406">
        <f>IF(MONTH(DataRevRea)=7,'Rede Básica + Ajuste'!J117,IF(G117&lt;$Q$69,(SUMIFS($E$18:$E$60,$B$18:$B$60,$D$106,$D$18:$D$60,"Ponta")),(SUMIFS($F$18:$F$60,$B$18:$B$60,$D$106,$D$18:$D$60,"Ponta"))))</f>
        <v>0</v>
      </c>
      <c r="M117" s="1406">
        <f>IF(MONTH(DataRevRea)=7,'Rede Básica + Ajuste'!K117,IF(G117&lt;$Q$69,(SUMIFS($E$18:$E$60,$B$18:$B$60,$D$106,$D$18:$D$60,"Fora Ponta")),(SUMIFS($F$18:$F$60,$B$18:$B$60,$D$106,$D$18:$D$60,"Fora Ponta"))))</f>
        <v>0</v>
      </c>
      <c r="N117" s="1407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24" t="s">
        <v>1254</v>
      </c>
      <c r="K119" s="1725"/>
      <c r="L119" s="1723" t="s">
        <v>1255</v>
      </c>
      <c r="M119" s="1723"/>
      <c r="N119" s="283"/>
    </row>
    <row r="120" spans="3:14" ht="15.75">
      <c r="C120" s="1726" t="s">
        <v>1265</v>
      </c>
      <c r="D120" s="1727"/>
      <c r="F120" s="275"/>
      <c r="G120" s="1394" t="s">
        <v>715</v>
      </c>
      <c r="H120" s="1395" t="s">
        <v>1256</v>
      </c>
      <c r="I120" s="1395" t="s">
        <v>1257</v>
      </c>
      <c r="J120" s="1396" t="s">
        <v>1258</v>
      </c>
      <c r="K120" s="1396" t="s">
        <v>1259</v>
      </c>
      <c r="L120" s="1396" t="s">
        <v>1258</v>
      </c>
      <c r="M120" s="1396" t="s">
        <v>1259</v>
      </c>
      <c r="N120" s="282" t="s">
        <v>1260</v>
      </c>
    </row>
    <row r="121" spans="3:14" ht="15.75">
      <c r="C121" s="1391" t="s">
        <v>1261</v>
      </c>
      <c r="D121" s="1408">
        <f>IF(D19="Ponta",B19,0)</f>
        <v>0</v>
      </c>
      <c r="E121" s="18"/>
      <c r="F121" s="275"/>
      <c r="G121" s="1398">
        <f>G106</f>
        <v>44317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99">
        <f>IF(MONTH(DataRevRea)=7,'Rede Básica + Ajuste'!J121,IF(G121&lt;$Q$69,(SUMIFS($G$18:$G$60,$B$18:$B$60,$D$121,$D$18:$D$60,"Ponta")),(SUMIFS($H$18:$H$60,$B$18:$B$60,$D$121,$D$18:$D$60,"Ponta"))))</f>
        <v>0</v>
      </c>
      <c r="M121" s="1399">
        <f>IF(MONTH(DataRevRea)=7,'Rede Básica + Ajuste'!K121,IF(G121&lt;$Q$69,(SUMIFS($G$18:$G$60,$B$18:$B$60,$D$121,$D$18:$D$60,"Fora Ponta")),(SUMIFS($H$18:$H$60,$B$18:$B$60,$D$121,$D$18:$D$60,"Fora Ponta"))))</f>
        <v>0</v>
      </c>
      <c r="N121" s="1400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44348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401" t="s">
        <v>1262</v>
      </c>
      <c r="E123" s="1402" t="s">
        <v>1263</v>
      </c>
      <c r="F123" s="275"/>
      <c r="G123" s="276">
        <f t="shared" si="21"/>
        <v>44378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403" t="str">
        <f>C109</f>
        <v>Cobertura 2021</v>
      </c>
      <c r="D124" s="1404">
        <f>SUMPRODUCT(H121:H132,J121:J132)</f>
        <v>0</v>
      </c>
      <c r="E124" s="1404">
        <f>SUMPRODUCT(I121:I132,K121:K132)</f>
        <v>0</v>
      </c>
      <c r="F124" s="275"/>
      <c r="G124" s="276">
        <f t="shared" si="21"/>
        <v>44409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403" t="s">
        <v>1264</v>
      </c>
      <c r="D125" s="1404">
        <f>SUMPRODUCT(H121:H132,L121:L132)</f>
        <v>0</v>
      </c>
      <c r="E125" s="1404">
        <f>SUMPRODUCT(I121:I132,M121:M132)</f>
        <v>0</v>
      </c>
      <c r="F125" s="275"/>
      <c r="G125" s="276">
        <f t="shared" si="21"/>
        <v>44440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44470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44501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44531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44562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44593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44621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405">
        <f t="shared" si="21"/>
        <v>44652</v>
      </c>
      <c r="H132" s="1406">
        <f t="shared" si="21"/>
        <v>0</v>
      </c>
      <c r="I132" s="1406">
        <f t="shared" si="21"/>
        <v>0</v>
      </c>
      <c r="J132" s="1406">
        <f t="shared" si="22"/>
        <v>0</v>
      </c>
      <c r="K132" s="1406">
        <f t="shared" si="23"/>
        <v>0</v>
      </c>
      <c r="L132" s="1406">
        <f>IF(MONTH(DataRevRea)=7,'Rede Básica + Ajuste'!J132,IF(G132&lt;$Q$69,(SUMIFS($G$18:$G$60,$B$18:$B$60,$D$121,$D$18:$D$60,"Ponta")),(SUMIFS($H$18:$H$60,$B$18:$B$60,$D$121,$D$18:$D$60,"Ponta"))))</f>
        <v>0</v>
      </c>
      <c r="M132" s="1406">
        <f>IF(MONTH(DataRevRea)=7,'Rede Básica + Ajuste'!K132,IF(G132&lt;$Q$69,(SUMIFS($G$18:$G$60,$B$18:$B$60,$D$121,$D$18:$D$60,"Fora Ponta")),(SUMIFS($H$18:$H$60,$B$18:$B$60,$D$121,$D$18:$D$60,"Fora Ponta"))))</f>
        <v>0</v>
      </c>
      <c r="N132" s="1407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24" t="s">
        <v>1254</v>
      </c>
      <c r="K134" s="1725"/>
      <c r="L134" s="1723" t="s">
        <v>1255</v>
      </c>
      <c r="M134" s="1723"/>
      <c r="N134" s="283"/>
    </row>
    <row r="135" spans="3:14" ht="15.75">
      <c r="C135" s="1726" t="s">
        <v>1237</v>
      </c>
      <c r="D135" s="1727"/>
      <c r="F135" s="275"/>
      <c r="G135" s="1394" t="s">
        <v>715</v>
      </c>
      <c r="H135" s="1395" t="s">
        <v>1256</v>
      </c>
      <c r="I135" s="1395" t="s">
        <v>1257</v>
      </c>
      <c r="J135" s="1396" t="s">
        <v>1258</v>
      </c>
      <c r="K135" s="1396" t="s">
        <v>1259</v>
      </c>
      <c r="L135" s="1396" t="s">
        <v>1258</v>
      </c>
      <c r="M135" s="1396" t="s">
        <v>1259</v>
      </c>
      <c r="N135" s="282" t="s">
        <v>1260</v>
      </c>
    </row>
    <row r="136" spans="3:14" ht="15.75">
      <c r="C136" s="1391" t="s">
        <v>1261</v>
      </c>
      <c r="D136" s="1408">
        <f>IF(D20="Ponta",B20,0)</f>
        <v>0</v>
      </c>
      <c r="E136" s="18"/>
      <c r="F136" s="275"/>
      <c r="G136" s="1398">
        <f>G121</f>
        <v>44317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99">
        <f>IF(MONTH(DataRevRea)=7,'Rede Básica + Ajuste'!J136,IF(G136&lt;$Q$69,(SUMIFS($E$18:$E$60,$B$18:$B$60,$D$136,$D$18:$D$60,"Ponta")),(SUMIFS($F$18:$F$60,$B$18:$B$60,$D$136,$D$18:$D$60,"Ponta"))))</f>
        <v>0</v>
      </c>
      <c r="M136" s="1399">
        <f>IF(MONTH(DataRevRea)=7,'Rede Básica + Ajuste'!K136,IF(G136&lt;$Q$69,(SUMIFS($E$18:$E$60,$B$18:$B$60,$D$136,$D$18:$D$60,"Fora Ponta")),(SUMIFS($F$18:$F$60,$B$18:$B$60,$D$136,$D$18:$D$60,"Fora Ponta"))))</f>
        <v>0</v>
      </c>
      <c r="N136" s="1400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44348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401" t="s">
        <v>1262</v>
      </c>
      <c r="E138" s="1402" t="s">
        <v>1263</v>
      </c>
      <c r="F138" s="275"/>
      <c r="G138" s="276">
        <f t="shared" si="25"/>
        <v>44378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403" t="str">
        <f>C124</f>
        <v>Cobertura 2021</v>
      </c>
      <c r="D139" s="1404">
        <f>SUMPRODUCT(H136:H147,J136:J147)</f>
        <v>0</v>
      </c>
      <c r="E139" s="1404">
        <f>SUMPRODUCT(I136:I147,K136:K147)</f>
        <v>0</v>
      </c>
      <c r="F139" s="275"/>
      <c r="G139" s="276">
        <f t="shared" si="25"/>
        <v>44409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403" t="s">
        <v>1264</v>
      </c>
      <c r="D140" s="1404">
        <f>SUMPRODUCT(H136:H147,L136:L147)</f>
        <v>0</v>
      </c>
      <c r="E140" s="1404">
        <f>SUMPRODUCT(I136:I147,M136:M147)</f>
        <v>0</v>
      </c>
      <c r="F140" s="275"/>
      <c r="G140" s="276">
        <f t="shared" si="25"/>
        <v>44440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44470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44501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44531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44562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44593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44621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405">
        <f t="shared" si="25"/>
        <v>44652</v>
      </c>
      <c r="H147" s="1406">
        <f>SUMIFS($Y$18:$Y$60,$B$18:$B$60,$D$136,$D$18:$D$60,"Ponta")</f>
        <v>0</v>
      </c>
      <c r="I147" s="1406">
        <f>SUMIFS($Y$18:$Y$60,$B$18:$B$60,$D$136,$D$18:$D$60,"Fora Ponta")</f>
        <v>0</v>
      </c>
      <c r="J147" s="1406">
        <f t="shared" si="26"/>
        <v>0</v>
      </c>
      <c r="K147" s="1406">
        <f t="shared" si="27"/>
        <v>0</v>
      </c>
      <c r="L147" s="1406">
        <f>IF(MONTH(DataRevRea)=7,'Rede Básica + Ajuste'!J147,IF(G147&lt;$Q$69,(SUMIFS($E$18:$E$60,$B$18:$B$60,$D$136,$D$18:$D$60,"Ponta")),(SUMIFS($F$18:$F$60,$B$18:$B$60,$D$136,$D$18:$D$60,"Ponta"))))</f>
        <v>0</v>
      </c>
      <c r="M147" s="1406">
        <f>IF(MONTH(DataRevRea)=7,'Rede Básica + Ajuste'!K147,IF(G147&lt;$Q$69,(SUMIFS($E$18:$E$60,$B$18:$B$60,$D$136,$D$18:$D$60,"Fora Ponta")),(SUMIFS($F$18:$F$60,$B$18:$B$60,$D$136,$D$18:$D$60,"Fora Ponta"))))</f>
        <v>0</v>
      </c>
      <c r="N147" s="1407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24" t="s">
        <v>1254</v>
      </c>
      <c r="K149" s="1725"/>
      <c r="L149" s="1723" t="s">
        <v>1255</v>
      </c>
      <c r="M149" s="1723"/>
      <c r="N149" s="283"/>
    </row>
    <row r="150" spans="3:14" ht="15.75">
      <c r="C150" s="1726" t="s">
        <v>1265</v>
      </c>
      <c r="D150" s="1727"/>
      <c r="F150" s="275"/>
      <c r="G150" s="1394" t="s">
        <v>715</v>
      </c>
      <c r="H150" s="1395" t="s">
        <v>1256</v>
      </c>
      <c r="I150" s="1395" t="s">
        <v>1257</v>
      </c>
      <c r="J150" s="1396" t="s">
        <v>1258</v>
      </c>
      <c r="K150" s="1396" t="s">
        <v>1259</v>
      </c>
      <c r="L150" s="1396" t="s">
        <v>1258</v>
      </c>
      <c r="M150" s="1396" t="s">
        <v>1259</v>
      </c>
      <c r="N150" s="282" t="s">
        <v>1260</v>
      </c>
    </row>
    <row r="151" spans="3:14" ht="15.75">
      <c r="C151" s="1391" t="s">
        <v>1261</v>
      </c>
      <c r="D151" s="1408">
        <f>IF(D20="Ponta",B20,0)</f>
        <v>0</v>
      </c>
      <c r="E151" s="18"/>
      <c r="F151" s="275"/>
      <c r="G151" s="1398">
        <f>G136</f>
        <v>44317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99">
        <f>IF(MONTH(DataRevRea)=7,'Rede Básica + Ajuste'!J151,IF(G151&lt;$Q$69,(SUMIFS($G$18:$G$60,$B$18:$B$60,$D$151,$D$18:$D$60,"Ponta")),(SUMIFS($H$18:$H$60,$B$18:$B$60,$D$151,$D$18:$D$60,"Ponta"))))</f>
        <v>0</v>
      </c>
      <c r="M151" s="1399">
        <f>IF(MONTH(DataRevRea)=7,'Rede Básica + Ajuste'!K151,IF(G151&lt;$Q$69,(SUMIFS($G$18:$G$60,$B$18:$B$60,$D$151,$D$18:$D$60,"Fora Ponta")),(SUMIFS($H$18:$H$60,$B$18:$B$60,$D$151,$D$18:$D$60,"Fora Ponta"))))</f>
        <v>0</v>
      </c>
      <c r="N151" s="1400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44348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401" t="s">
        <v>1262</v>
      </c>
      <c r="E153" s="1402" t="s">
        <v>1263</v>
      </c>
      <c r="F153" s="275"/>
      <c r="G153" s="276">
        <f t="shared" si="29"/>
        <v>44378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403" t="str">
        <f>C139</f>
        <v>Cobertura 2021</v>
      </c>
      <c r="D154" s="1404">
        <f>SUMPRODUCT(H151:H162,J151:J162)</f>
        <v>0</v>
      </c>
      <c r="E154" s="1404">
        <f>SUMPRODUCT(I151:I162,K151:K162)</f>
        <v>0</v>
      </c>
      <c r="F154" s="275"/>
      <c r="G154" s="276">
        <f t="shared" si="29"/>
        <v>44409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403" t="s">
        <v>1264</v>
      </c>
      <c r="D155" s="1404">
        <f>SUMPRODUCT(H151:H162,L151:L162)</f>
        <v>0</v>
      </c>
      <c r="E155" s="1404">
        <f>SUMPRODUCT(I151:I162,M151:M162)</f>
        <v>0</v>
      </c>
      <c r="F155" s="275"/>
      <c r="G155" s="276">
        <f t="shared" si="29"/>
        <v>44440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44470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44501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44531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44562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44593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44621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405">
        <f t="shared" si="29"/>
        <v>44652</v>
      </c>
      <c r="H162" s="1406">
        <f t="shared" si="29"/>
        <v>0</v>
      </c>
      <c r="I162" s="1406">
        <f t="shared" si="29"/>
        <v>0</v>
      </c>
      <c r="J162" s="1406">
        <f t="shared" si="30"/>
        <v>0</v>
      </c>
      <c r="K162" s="1406">
        <f t="shared" si="31"/>
        <v>0</v>
      </c>
      <c r="L162" s="1406">
        <f>IF(MONTH(DataRevRea)=7,'Rede Básica + Ajuste'!J162,IF(G162&lt;$Q$69,(SUMIFS($G$18:$G$60,$B$18:$B$60,$D$151,$D$18:$D$60,"Ponta")),(SUMIFS($H$18:$H$60,$B$18:$B$60,$D$151,$D$18:$D$60,"Ponta"))))</f>
        <v>0</v>
      </c>
      <c r="M162" s="1406">
        <f>IF(MONTH(DataRevRea)=7,'Rede Básica + Ajuste'!K162,IF(G162&lt;$Q$69,(SUMIFS($G$18:$G$60,$B$18:$B$60,$D$151,$D$18:$D$60,"Fora Ponta")),(SUMIFS($H$18:$H$60,$B$18:$B$60,$D$151,$D$18:$D$60,"Fora Ponta"))))</f>
        <v>0</v>
      </c>
      <c r="N162" s="1407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24" t="s">
        <v>1254</v>
      </c>
      <c r="K164" s="1725"/>
      <c r="L164" s="1723" t="s">
        <v>1255</v>
      </c>
      <c r="M164" s="1723"/>
      <c r="N164" s="283"/>
    </row>
    <row r="165" spans="3:14" ht="15.75">
      <c r="C165" s="1726" t="s">
        <v>1237</v>
      </c>
      <c r="D165" s="1727"/>
      <c r="F165" s="275"/>
      <c r="G165" s="1394" t="s">
        <v>715</v>
      </c>
      <c r="H165" s="1395" t="s">
        <v>1256</v>
      </c>
      <c r="I165" s="1395" t="s">
        <v>1257</v>
      </c>
      <c r="J165" s="1396" t="s">
        <v>1258</v>
      </c>
      <c r="K165" s="1396" t="s">
        <v>1259</v>
      </c>
      <c r="L165" s="1396" t="s">
        <v>1258</v>
      </c>
      <c r="M165" s="1396" t="s">
        <v>1259</v>
      </c>
      <c r="N165" s="282" t="s">
        <v>1260</v>
      </c>
    </row>
    <row r="166" spans="3:14" ht="15.75">
      <c r="C166" s="1391" t="s">
        <v>1261</v>
      </c>
      <c r="D166" s="1408">
        <f>IF(D21="Ponta",B21,0)</f>
        <v>0</v>
      </c>
      <c r="E166" s="18"/>
      <c r="F166" s="275"/>
      <c r="G166" s="1398">
        <f>G151</f>
        <v>44317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99">
        <f>IF(MONTH(DataRevRea)=7,'Rede Básica + Ajuste'!J166,IF(G166&lt;$Q$69,(SUMIFS($E$18:$E$60,$B$18:$B$60,$D$166,$D$18:$D$60,"Ponta")),(SUMIFS($F$18:$F$60,$B$18:$B$60,$D$166,$D$18:$D$60,"Ponta"))))</f>
        <v>0</v>
      </c>
      <c r="M166" s="1399">
        <f>IF(MONTH(DataRevRea)=7,'Rede Básica + Ajuste'!K166,IF(G166&lt;$Q$69,(SUMIFS($E$18:$E$60,$B$18:$B$60,$D$166,$D$18:$D$60,"Fora Ponta")),(SUMIFS($F$18:$F$60,$B$18:$B$60,$D$166,$D$18:$D$60,"Fora Ponta"))))</f>
        <v>0</v>
      </c>
      <c r="N166" s="1400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44348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401" t="s">
        <v>1262</v>
      </c>
      <c r="E168" s="1402" t="s">
        <v>1263</v>
      </c>
      <c r="F168" s="275"/>
      <c r="G168" s="276">
        <f t="shared" si="33"/>
        <v>44378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403" t="str">
        <f>C154</f>
        <v>Cobertura 2021</v>
      </c>
      <c r="D169" s="1404">
        <f>SUMPRODUCT(H166:H177,J166:J177)</f>
        <v>0</v>
      </c>
      <c r="E169" s="1404">
        <f>SUMPRODUCT(I166:I177,K166:K177)</f>
        <v>0</v>
      </c>
      <c r="F169" s="275"/>
      <c r="G169" s="276">
        <f t="shared" si="33"/>
        <v>44409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403" t="s">
        <v>1264</v>
      </c>
      <c r="D170" s="1404">
        <f>SUMPRODUCT(H166:H177,L166:L177)</f>
        <v>0</v>
      </c>
      <c r="E170" s="1404">
        <f>SUMPRODUCT(I166:I177,M166:M177)</f>
        <v>0</v>
      </c>
      <c r="F170" s="275"/>
      <c r="G170" s="276">
        <f t="shared" si="33"/>
        <v>44440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44470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44501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44531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44562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44593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44621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405">
        <f t="shared" si="33"/>
        <v>44652</v>
      </c>
      <c r="H177" s="1406">
        <f>SUMIFS($Y$18:$Y$60,$B$18:$B$60,$D$166,$D$18:$D$60,"Ponta")</f>
        <v>0</v>
      </c>
      <c r="I177" s="1406">
        <f>SUMIFS($Y$18:$Y$60,$B$18:$B$60,$D$166,$D$18:$D$60,"Fora Ponta")</f>
        <v>0</v>
      </c>
      <c r="J177" s="1406">
        <f t="shared" si="34"/>
        <v>0</v>
      </c>
      <c r="K177" s="1406">
        <f t="shared" si="35"/>
        <v>0</v>
      </c>
      <c r="L177" s="1406">
        <f>IF(MONTH(DataRevRea)=7,'Rede Básica + Ajuste'!J177,IF(G177&lt;$Q$69,(SUMIFS($E$18:$E$60,$B$18:$B$60,$D$166,$D$18:$D$60,"Ponta")),(SUMIFS($F$18:$F$60,$B$18:$B$60,$D$166,$D$18:$D$60,"Ponta"))))</f>
        <v>0</v>
      </c>
      <c r="M177" s="1406">
        <f>IF(MONTH(DataRevRea)=7,'Rede Básica + Ajuste'!K177,IF(G177&lt;$Q$69,(SUMIFS($E$18:$E$60,$B$18:$B$60,$D$166,$D$18:$D$60,"Fora Ponta")),(SUMIFS($F$18:$F$60,$B$18:$B$60,$D$166,$D$18:$D$60,"Fora Ponta"))))</f>
        <v>0</v>
      </c>
      <c r="N177" s="1407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24" t="s">
        <v>1254</v>
      </c>
      <c r="K179" s="1725"/>
      <c r="L179" s="1723" t="s">
        <v>1255</v>
      </c>
      <c r="M179" s="1723"/>
      <c r="N179" s="283"/>
    </row>
    <row r="180" spans="3:14" ht="15.75">
      <c r="C180" s="1726" t="s">
        <v>1265</v>
      </c>
      <c r="D180" s="1727"/>
      <c r="F180" s="275"/>
      <c r="G180" s="1394" t="s">
        <v>715</v>
      </c>
      <c r="H180" s="1395" t="s">
        <v>1256</v>
      </c>
      <c r="I180" s="1395" t="s">
        <v>1257</v>
      </c>
      <c r="J180" s="1396" t="s">
        <v>1258</v>
      </c>
      <c r="K180" s="1396" t="s">
        <v>1259</v>
      </c>
      <c r="L180" s="1396" t="s">
        <v>1258</v>
      </c>
      <c r="M180" s="1396" t="s">
        <v>1259</v>
      </c>
      <c r="N180" s="282" t="s">
        <v>1260</v>
      </c>
    </row>
    <row r="181" spans="3:14" ht="15.75">
      <c r="C181" s="1391" t="s">
        <v>1261</v>
      </c>
      <c r="D181" s="1408">
        <f>IF(D21="Ponta",B21,0)</f>
        <v>0</v>
      </c>
      <c r="E181" s="18"/>
      <c r="F181" s="275"/>
      <c r="G181" s="1398">
        <f>G166</f>
        <v>44317</v>
      </c>
      <c r="H181" s="277">
        <f>H166</f>
        <v>0</v>
      </c>
      <c r="I181" s="277">
        <f>I166</f>
        <v>0</v>
      </c>
      <c r="J181" s="1399">
        <f>SUMIFS($G$18:$G$60,$B$18:$B$60,$D$181,$D$18:$D$60,"Ponta")</f>
        <v>0</v>
      </c>
      <c r="K181" s="1399">
        <f>SUMIFS($G$18:$G$60,$B$18:$B$60,$D$181,$D$18:$D$60,"Fora Ponta")</f>
        <v>0</v>
      </c>
      <c r="L181" s="1399">
        <f>IF(MONTH(DataRevRea)=7,'Rede Básica + Ajuste'!J181,IF(G181&lt;$Q$69,(SUMIFS($G$18:$G$60,$B$18:$B$60,$D$181,$D$18:$D$60,"Ponta")),(SUMIFS($H$18:$H$60,$B$18:$B$60,$D$181,$D$18:$D$60,"Ponta"))))</f>
        <v>0</v>
      </c>
      <c r="M181" s="1399">
        <f>IF(MONTH(DataRevRea)=7,'Rede Básica + Ajuste'!K181,IF(G181&lt;$Q$69,(SUMIFS($G$18:$G$60,$B$18:$B$60,$D$181,$D$18:$D$60,"Fora Ponta")),(SUMIFS($H$18:$H$60,$B$18:$B$60,$D$181,$D$18:$D$60,"Fora Ponta"))))</f>
        <v>0</v>
      </c>
      <c r="N181" s="1400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44348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401" t="s">
        <v>1262</v>
      </c>
      <c r="E183" s="1402" t="s">
        <v>1263</v>
      </c>
      <c r="F183" s="275"/>
      <c r="G183" s="276">
        <f t="shared" si="37"/>
        <v>44378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403" t="str">
        <f>C169</f>
        <v>Cobertura 2021</v>
      </c>
      <c r="D184" s="1404">
        <f>SUMPRODUCT(H181:H192,J181:J192)</f>
        <v>0</v>
      </c>
      <c r="E184" s="1404">
        <f>SUMPRODUCT(I181:I192,K181:K192)</f>
        <v>0</v>
      </c>
      <c r="F184" s="275"/>
      <c r="G184" s="276">
        <f t="shared" si="37"/>
        <v>44409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403" t="s">
        <v>1264</v>
      </c>
      <c r="D185" s="1404">
        <f>SUMPRODUCT(H181:H192,L181:L192)</f>
        <v>0</v>
      </c>
      <c r="E185" s="1404">
        <f>SUMPRODUCT(I181:I192,M181:M192)</f>
        <v>0</v>
      </c>
      <c r="F185" s="275"/>
      <c r="G185" s="276">
        <f t="shared" si="37"/>
        <v>44440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44470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44501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44531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44562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44593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44621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405">
        <f t="shared" si="37"/>
        <v>44652</v>
      </c>
      <c r="H192" s="1406">
        <f t="shared" si="37"/>
        <v>0</v>
      </c>
      <c r="I192" s="1406">
        <f t="shared" si="37"/>
        <v>0</v>
      </c>
      <c r="J192" s="1406">
        <f t="shared" si="38"/>
        <v>0</v>
      </c>
      <c r="K192" s="1406">
        <f t="shared" si="39"/>
        <v>0</v>
      </c>
      <c r="L192" s="1406">
        <f>IF(MONTH(DataRevRea)=7,'Rede Básica + Ajuste'!J192,IF(G192&lt;$Q$69,(SUMIFS($G$18:$G$60,$B$18:$B$60,$D$181,$D$18:$D$60,"Ponta")),(SUMIFS($H$18:$H$60,$B$18:$B$60,$D$181,$D$18:$D$60,"Ponta"))))</f>
        <v>0</v>
      </c>
      <c r="M192" s="1406">
        <f>IF(MONTH(DataRevRea)=7,'Rede Básica + Ajuste'!K192,IF(G192&lt;$Q$69,(SUMIFS($G$18:$G$60,$B$18:$B$60,$D$181,$D$18:$D$60,"Fora Ponta")),(SUMIFS($H$18:$H$60,$B$18:$B$60,$D$181,$D$18:$D$60,"Fora Ponta"))))</f>
        <v>0</v>
      </c>
      <c r="N192" s="1407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24" t="s">
        <v>1254</v>
      </c>
      <c r="K194" s="1725"/>
      <c r="L194" s="1723" t="s">
        <v>1255</v>
      </c>
      <c r="M194" s="1723"/>
      <c r="N194" s="283"/>
    </row>
    <row r="195" spans="3:14" ht="15.75">
      <c r="C195" s="1726" t="s">
        <v>1237</v>
      </c>
      <c r="D195" s="1727"/>
      <c r="F195" s="275"/>
      <c r="G195" s="1394" t="s">
        <v>715</v>
      </c>
      <c r="H195" s="1395" t="s">
        <v>1256</v>
      </c>
      <c r="I195" s="1395" t="s">
        <v>1257</v>
      </c>
      <c r="J195" s="1396" t="s">
        <v>1258</v>
      </c>
      <c r="K195" s="1396" t="s">
        <v>1259</v>
      </c>
      <c r="L195" s="1396" t="s">
        <v>1258</v>
      </c>
      <c r="M195" s="1396" t="s">
        <v>1259</v>
      </c>
      <c r="N195" s="282" t="s">
        <v>1260</v>
      </c>
    </row>
    <row r="196" spans="3:14" ht="15.75">
      <c r="C196" s="1391" t="s">
        <v>1261</v>
      </c>
      <c r="D196" s="1408">
        <f>IF(D22="Ponta",B22,0)</f>
        <v>0</v>
      </c>
      <c r="E196" s="18"/>
      <c r="F196" s="275"/>
      <c r="G196" s="1398">
        <f>G181</f>
        <v>44317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99">
        <f>SUMIFS($E$18:$E$60,$B$18:$B$60,$D$196,$D$18:$D$60,"Ponta")</f>
        <v>0</v>
      </c>
      <c r="K196" s="1399">
        <f>SUMIFS($E$18:$E$60,$B$18:$B$60,$D$196,$D$18:$D$60,"Fora Ponta")</f>
        <v>0</v>
      </c>
      <c r="L196" s="1399">
        <f>IF(MONTH(DataRevRea)=7,'Rede Básica + Ajuste'!J196,IF(G196&lt;$Q$69,(SUMIFS($E$18:$E$60,$B$18:$B$60,$D$196,$D$18:$D$60,"Ponta")),(SUMIFS($F$18:$F$60,$B$18:$B$60,$D$196,$D$18:$D$60,"Ponta"))))</f>
        <v>0</v>
      </c>
      <c r="M196" s="1399">
        <f>IF(MONTH(DataRevRea)=7,'Rede Básica + Ajuste'!K196,IF(G196&lt;$Q$69,(SUMIFS($E$18:$E$60,$B$18:$B$60,$D$196,$D$18:$D$60,"Fora Ponta")),(SUMIFS($F$18:$F$60,$B$18:$B$60,$D$196,$D$18:$D$60,"Fora Ponta"))))</f>
        <v>0</v>
      </c>
      <c r="N196" s="1400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44348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401" t="s">
        <v>1262</v>
      </c>
      <c r="E198" s="1402" t="s">
        <v>1263</v>
      </c>
      <c r="F198" s="275"/>
      <c r="G198" s="276">
        <f t="shared" si="41"/>
        <v>44378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403" t="str">
        <f>C184</f>
        <v>Cobertura 2021</v>
      </c>
      <c r="D199" s="1404">
        <f>SUMPRODUCT(H196:H207,J196:J207)</f>
        <v>0</v>
      </c>
      <c r="E199" s="1404">
        <f>SUMPRODUCT(I196:I207,K196:K207)</f>
        <v>0</v>
      </c>
      <c r="F199" s="275"/>
      <c r="G199" s="276">
        <f t="shared" si="41"/>
        <v>44409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403" t="s">
        <v>1264</v>
      </c>
      <c r="D200" s="1404">
        <f>SUMPRODUCT(H196:H207,L196:L207)</f>
        <v>0</v>
      </c>
      <c r="E200" s="1404">
        <f>SUMPRODUCT(I196:I207,M196:M207)</f>
        <v>0</v>
      </c>
      <c r="F200" s="275"/>
      <c r="G200" s="276">
        <f t="shared" si="41"/>
        <v>44440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44470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44501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44531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44562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44593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44621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405">
        <f t="shared" si="41"/>
        <v>44652</v>
      </c>
      <c r="H207" s="1406">
        <f>SUMIFS($Y$18:$Y$60,$B$18:$B$60,$D$196,$D$18:$D$60,"Ponta")</f>
        <v>0</v>
      </c>
      <c r="I207" s="1406">
        <f>SUMIFS($Y$18:$Y$60,$B$18:$B$60,$D$196,$D$18:$D$60,"Fora Ponta")</f>
        <v>0</v>
      </c>
      <c r="J207" s="1406">
        <f t="shared" si="42"/>
        <v>0</v>
      </c>
      <c r="K207" s="1406">
        <f t="shared" si="43"/>
        <v>0</v>
      </c>
      <c r="L207" s="1406">
        <f>IF(MONTH(DataRevRea)=7,'Rede Básica + Ajuste'!J207,IF(G207&lt;$Q$69,(SUMIFS($E$18:$E$60,$B$18:$B$60,$D$196,$D$18:$D$60,"Ponta")),(SUMIFS($F$18:$F$60,$B$18:$B$60,$D$196,$D$18:$D$60,"Ponta"))))</f>
        <v>0</v>
      </c>
      <c r="M207" s="1406">
        <f>IF(MONTH(DataRevRea)=7,'Rede Básica + Ajuste'!K207,IF(G207&lt;$Q$69,(SUMIFS($E$18:$E$60,$B$18:$B$60,$D$196,$D$18:$D$60,"Fora Ponta")),(SUMIFS($F$18:$F$60,$B$18:$B$60,$D$196,$D$18:$D$60,"Fora Ponta"))))</f>
        <v>0</v>
      </c>
      <c r="N207" s="1407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24" t="s">
        <v>1254</v>
      </c>
      <c r="K209" s="1725"/>
      <c r="L209" s="1723" t="s">
        <v>1255</v>
      </c>
      <c r="M209" s="1723"/>
      <c r="N209" s="283"/>
    </row>
    <row r="210" spans="3:14" ht="15.75">
      <c r="C210" s="1726" t="s">
        <v>1265</v>
      </c>
      <c r="D210" s="1727"/>
      <c r="F210" s="275"/>
      <c r="G210" s="1394" t="s">
        <v>715</v>
      </c>
      <c r="H210" s="1395" t="s">
        <v>1256</v>
      </c>
      <c r="I210" s="1395" t="s">
        <v>1257</v>
      </c>
      <c r="J210" s="1396" t="s">
        <v>1258</v>
      </c>
      <c r="K210" s="1396" t="s">
        <v>1259</v>
      </c>
      <c r="L210" s="1396" t="s">
        <v>1258</v>
      </c>
      <c r="M210" s="1396" t="s">
        <v>1259</v>
      </c>
      <c r="N210" s="282" t="s">
        <v>1260</v>
      </c>
    </row>
    <row r="211" spans="3:14" ht="15.75">
      <c r="C211" s="1391" t="s">
        <v>1261</v>
      </c>
      <c r="D211" s="1408">
        <f>IF(D22="Ponta",B22,0)</f>
        <v>0</v>
      </c>
      <c r="E211" s="18"/>
      <c r="F211" s="275"/>
      <c r="G211" s="1398">
        <f>G196</f>
        <v>44317</v>
      </c>
      <c r="H211" s="277">
        <f>H196</f>
        <v>0</v>
      </c>
      <c r="I211" s="277">
        <f>I196</f>
        <v>0</v>
      </c>
      <c r="J211" s="1399">
        <f>SUMIFS($G$18:$G$60,$B$18:$B$60,$D$211,$D$18:$D$60,"Ponta")</f>
        <v>0</v>
      </c>
      <c r="K211" s="1399">
        <f>SUMIFS($G$18:$G$60,$B$18:$B$60,$D$211,$D$18:$D$60,"Fora Ponta")</f>
        <v>0</v>
      </c>
      <c r="L211" s="1399">
        <f>IF(MONTH(DataRevRea)=7,'Rede Básica + Ajuste'!J211,IF(G211&lt;$Q$69,(SUMIFS($G$18:$G$60,$B$18:$B$60,$D$211,$D$18:$D$60,"Ponta")),(SUMIFS($H$18:$H$60,$B$18:$B$60,$D$211,$D$18:$D$60,"Ponta"))))</f>
        <v>0</v>
      </c>
      <c r="M211" s="1399">
        <f>IF(MONTH(DataRevRea)=7,'Rede Básica + Ajuste'!K211,IF(G211&lt;$Q$69,(SUMIFS($G$18:$G$60,$B$18:$B$60,$D$211,$D$18:$D$60,"Fora Ponta")),(SUMIFS($H$18:$H$60,$B$18:$B$60,$D$211,$D$18:$D$60,"Fora Ponta"))))</f>
        <v>0</v>
      </c>
      <c r="N211" s="1400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44348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401" t="s">
        <v>1262</v>
      </c>
      <c r="E213" s="1402" t="s">
        <v>1263</v>
      </c>
      <c r="F213" s="275"/>
      <c r="G213" s="276">
        <f t="shared" si="45"/>
        <v>44378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403" t="str">
        <f>C199</f>
        <v>Cobertura 2021</v>
      </c>
      <c r="D214" s="1404">
        <f>SUMPRODUCT(H211:H222,J211:J222)</f>
        <v>0</v>
      </c>
      <c r="E214" s="1404">
        <f>SUMPRODUCT(I211:I222,K211:K222)</f>
        <v>0</v>
      </c>
      <c r="F214" s="275"/>
      <c r="G214" s="276">
        <f t="shared" si="45"/>
        <v>44409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403" t="s">
        <v>1264</v>
      </c>
      <c r="D215" s="1404">
        <f>SUMPRODUCT(H211:H222,L211:L222)</f>
        <v>0</v>
      </c>
      <c r="E215" s="1404">
        <f>SUMPRODUCT(I211:I222,M211:M222)</f>
        <v>0</v>
      </c>
      <c r="F215" s="275"/>
      <c r="G215" s="276">
        <f t="shared" si="45"/>
        <v>44440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44470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44501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44531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44562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44593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44621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405">
        <f t="shared" si="45"/>
        <v>44652</v>
      </c>
      <c r="H222" s="1406">
        <f t="shared" si="45"/>
        <v>0</v>
      </c>
      <c r="I222" s="1406">
        <f t="shared" si="45"/>
        <v>0</v>
      </c>
      <c r="J222" s="1406">
        <f t="shared" si="46"/>
        <v>0</v>
      </c>
      <c r="K222" s="1406">
        <f t="shared" si="47"/>
        <v>0</v>
      </c>
      <c r="L222" s="1406">
        <f>IF(MONTH(DataRevRea)=7,'Rede Básica + Ajuste'!J222,IF(G222&lt;$Q$69,(SUMIFS($G$18:$G$60,$B$18:$B$60,$D$211,$D$18:$D$60,"Ponta")),(SUMIFS($H$18:$H$60,$B$18:$B$60,$D$211,$D$18:$D$60,"Ponta"))))</f>
        <v>0</v>
      </c>
      <c r="M222" s="1406">
        <f>IF(MONTH(DataRevRea)=7,'Rede Básica + Ajuste'!K222,IF(G222&lt;$Q$69,(SUMIFS($G$18:$G$60,$B$18:$B$60,$D$211,$D$18:$D$60,"Fora Ponta")),(SUMIFS($H$18:$H$60,$B$18:$B$60,$D$211,$D$18:$D$60,"Fora Ponta"))))</f>
        <v>0</v>
      </c>
      <c r="N222" s="1407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workbookViewId="0"/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61" t="s">
        <v>707</v>
      </c>
      <c r="C1" s="1158"/>
      <c r="D1" s="1062"/>
      <c r="E1" s="1375"/>
      <c r="F1" s="1375"/>
      <c r="G1" s="1271" t="s">
        <v>952</v>
      </c>
      <c r="H1" s="1272">
        <f ca="1">LnkTXTIRTEco</f>
        <v>0.21260000000000001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1266</v>
      </c>
      <c r="AL1" s="185">
        <v>7947</v>
      </c>
      <c r="AM1" s="184" t="s">
        <v>1267</v>
      </c>
    </row>
    <row r="2" spans="2:39" ht="15" thickBot="1">
      <c r="B2" s="138" t="str">
        <f>CAPA!C9</f>
        <v>Cercos</v>
      </c>
      <c r="C2" s="70"/>
      <c r="D2" s="70"/>
      <c r="G2" s="121" t="s">
        <v>956</v>
      </c>
      <c r="H2" s="122">
        <f ca="1">LnkTXTIRTTotal</f>
        <v>8.3900000000000002E-2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1268</v>
      </c>
      <c r="AL2" s="187">
        <v>7959</v>
      </c>
      <c r="AM2" s="188" t="s">
        <v>1269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1270</v>
      </c>
      <c r="AL4" s="171">
        <v>7972</v>
      </c>
      <c r="AM4" s="172" t="s">
        <v>1271</v>
      </c>
    </row>
    <row r="5" spans="2:39" ht="29.25" thickBot="1">
      <c r="B5" s="1379" t="s">
        <v>1272</v>
      </c>
      <c r="C5" s="1379" t="s">
        <v>1273</v>
      </c>
      <c r="D5" s="1379" t="s">
        <v>1274</v>
      </c>
      <c r="E5" s="1379" t="s">
        <v>1275</v>
      </c>
      <c r="F5" s="1379" t="s">
        <v>1276</v>
      </c>
      <c r="G5" s="1379" t="s">
        <v>1277</v>
      </c>
      <c r="J5" s="158" t="s">
        <v>1278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1279</v>
      </c>
      <c r="AL5" s="171">
        <v>7973</v>
      </c>
      <c r="AM5" s="172" t="s">
        <v>1280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849</v>
      </c>
      <c r="K6" s="169">
        <v>3</v>
      </c>
      <c r="AK6" s="170" t="s">
        <v>1281</v>
      </c>
      <c r="AL6" s="171">
        <v>7974</v>
      </c>
      <c r="AM6" s="172" t="s">
        <v>1282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1283</v>
      </c>
      <c r="AL7" s="171">
        <v>7977</v>
      </c>
      <c r="AM7" s="172" t="s">
        <v>1284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1285</v>
      </c>
      <c r="AL8" s="171">
        <v>7978</v>
      </c>
      <c r="AM8" s="172" t="s">
        <v>1286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1287</v>
      </c>
      <c r="AL9" s="171">
        <v>7979</v>
      </c>
      <c r="AM9" s="172" t="s">
        <v>1288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1289</v>
      </c>
      <c r="AL10" s="171">
        <v>8047</v>
      </c>
      <c r="AM10" s="172" t="s">
        <v>1290</v>
      </c>
    </row>
    <row r="11" spans="2:39" ht="15" thickBot="1">
      <c r="B11" s="1409" t="s">
        <v>837</v>
      </c>
      <c r="C11" s="1410">
        <f>SUM(C6:C10)</f>
        <v>0</v>
      </c>
      <c r="D11" s="1410">
        <f>SUM(D6:D10)</f>
        <v>0</v>
      </c>
      <c r="E11" s="1411">
        <f>SUM(E6:E10)</f>
        <v>0</v>
      </c>
      <c r="F11" s="1412"/>
      <c r="G11" s="1413">
        <f>SUM(G6:G10)</f>
        <v>0</v>
      </c>
      <c r="AK11" s="170" t="s">
        <v>1291</v>
      </c>
      <c r="AL11" s="171">
        <v>8049</v>
      </c>
      <c r="AM11" s="172" t="s">
        <v>1292</v>
      </c>
    </row>
    <row r="12" spans="2:39" ht="15" thickBot="1">
      <c r="B12" s="166"/>
      <c r="C12" s="165"/>
      <c r="D12" s="1414" t="s">
        <v>1293</v>
      </c>
      <c r="E12" s="1414"/>
      <c r="F12" s="1415">
        <f>IF(MONTH(CAPA!C15)&gt;6,DATE(YEAR(CAPA!C15),6,1),DATE(YEAR(CAPA!C15)-1,6,1))</f>
        <v>44348</v>
      </c>
      <c r="G12" s="189"/>
      <c r="AK12" s="170" t="s">
        <v>1294</v>
      </c>
      <c r="AL12" s="171">
        <v>8050</v>
      </c>
      <c r="AM12" s="172" t="s">
        <v>1295</v>
      </c>
    </row>
    <row r="13" spans="2:39" ht="15" thickBot="1">
      <c r="B13" s="182"/>
      <c r="C13" s="182"/>
      <c r="D13" s="182"/>
      <c r="F13" s="183" t="s">
        <v>1296</v>
      </c>
      <c r="AK13" s="170"/>
      <c r="AL13" s="171"/>
      <c r="AM13" s="172"/>
    </row>
    <row r="14" spans="2:39" ht="15" thickBot="1">
      <c r="B14" s="182"/>
      <c r="C14" s="182"/>
      <c r="AK14" s="170" t="s">
        <v>1297</v>
      </c>
      <c r="AL14" s="171">
        <v>8051</v>
      </c>
      <c r="AM14" s="172" t="s">
        <v>1298</v>
      </c>
    </row>
    <row r="15" spans="2:39" ht="29.25" thickBot="1">
      <c r="B15" s="1379" t="s">
        <v>1272</v>
      </c>
      <c r="C15" s="1379" t="s">
        <v>1273</v>
      </c>
      <c r="D15" s="1379" t="s">
        <v>1299</v>
      </c>
      <c r="E15" s="1379" t="s">
        <v>1300</v>
      </c>
      <c r="F15" s="151"/>
      <c r="AK15" s="170" t="s">
        <v>1301</v>
      </c>
      <c r="AL15" s="171">
        <v>8057</v>
      </c>
      <c r="AM15" s="172" t="s">
        <v>1302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1303</v>
      </c>
      <c r="AL16" s="171">
        <v>8058</v>
      </c>
      <c r="AM16" s="172" t="s">
        <v>1304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1305</v>
      </c>
      <c r="AL17" s="171">
        <v>8220</v>
      </c>
      <c r="AM17" s="172" t="s">
        <v>1306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1307</v>
      </c>
      <c r="AL18" s="171">
        <v>8221</v>
      </c>
      <c r="AM18" s="172" t="s">
        <v>1308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1309</v>
      </c>
      <c r="AL19" s="171">
        <v>8231</v>
      </c>
      <c r="AM19" s="172" t="s">
        <v>1310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1311</v>
      </c>
      <c r="AL20" s="171">
        <v>8261</v>
      </c>
      <c r="AM20" s="172" t="s">
        <v>1312</v>
      </c>
    </row>
    <row r="21" spans="2:39">
      <c r="B21" s="1409" t="s">
        <v>837</v>
      </c>
      <c r="C21" s="1416">
        <f>SUM(C16:C20)</f>
        <v>0</v>
      </c>
      <c r="D21" s="1416">
        <f>SUM(D16:D20)</f>
        <v>0</v>
      </c>
      <c r="E21" s="1416">
        <f>SUM(E16:E20)</f>
        <v>0</v>
      </c>
      <c r="F21" s="151"/>
      <c r="AK21" s="173" t="s">
        <v>1313</v>
      </c>
      <c r="AL21" s="174">
        <v>8263</v>
      </c>
      <c r="AM21" s="175" t="s">
        <v>1314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topLeftCell="D1" workbookViewId="0">
      <selection activeCell="B16" sqref="B16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61" t="s">
        <v>1031</v>
      </c>
      <c r="C1" s="1158"/>
      <c r="D1" s="1417"/>
      <c r="E1" s="1418"/>
      <c r="F1" s="1418"/>
      <c r="G1" s="1271" t="s">
        <v>952</v>
      </c>
      <c r="H1" s="1377">
        <f ca="1">LnkTXTIRTEco</f>
        <v>0.21260000000000001</v>
      </c>
    </row>
    <row r="2" spans="1:16" ht="46.5" customHeight="1">
      <c r="B2" s="138" t="str">
        <f>CAPA!C9</f>
        <v>Cercos</v>
      </c>
      <c r="C2" s="70"/>
      <c r="D2" s="70"/>
      <c r="G2" s="121" t="s">
        <v>956</v>
      </c>
      <c r="H2" s="148">
        <f ca="1">LnkTXTIRTTotal</f>
        <v>8.3900000000000002E-2</v>
      </c>
      <c r="I2" s="91" t="s">
        <v>1315</v>
      </c>
    </row>
    <row r="3" spans="1:16">
      <c r="B3" s="1419" t="s">
        <v>1316</v>
      </c>
      <c r="C3" s="1420">
        <f>SUMPRODUCT(J6:J44,H6:H44)</f>
        <v>1447629.078219</v>
      </c>
      <c r="D3" s="73"/>
      <c r="E3" s="1419" t="s">
        <v>1206</v>
      </c>
      <c r="F3" s="68" t="s">
        <v>1317</v>
      </c>
      <c r="G3" s="1421">
        <f>LnkTXTDescTusdAnte</f>
        <v>0</v>
      </c>
      <c r="H3" s="91"/>
      <c r="I3" s="1422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1318</v>
      </c>
      <c r="B5" s="1423" t="s">
        <v>27</v>
      </c>
      <c r="C5" s="1423" t="s">
        <v>21</v>
      </c>
      <c r="D5" s="1423" t="s">
        <v>22</v>
      </c>
      <c r="E5" s="1423" t="s">
        <v>78</v>
      </c>
      <c r="F5" s="1423" t="s">
        <v>894</v>
      </c>
      <c r="G5" s="1423" t="s">
        <v>1319</v>
      </c>
      <c r="H5" s="1423" t="s">
        <v>60</v>
      </c>
      <c r="I5" s="1423" t="s">
        <v>1207</v>
      </c>
      <c r="J5" s="1423" t="s">
        <v>1208</v>
      </c>
      <c r="L5" s="68"/>
      <c r="M5" s="69"/>
    </row>
    <row r="6" spans="1:16">
      <c r="A6" s="68" t="s">
        <v>2242</v>
      </c>
      <c r="B6" s="149" t="s">
        <v>2243</v>
      </c>
      <c r="C6" s="149" t="s">
        <v>2220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24276</v>
      </c>
      <c r="H6" s="149">
        <f>IF(B6="","",IF(LEFT(D6,7)="Demanda",G6,G6/1000))</f>
        <v>24276</v>
      </c>
      <c r="I6" s="149">
        <f>IF(ISERROR(VLOOKUP(CONCATENATE(A6,A41,E6,F6),BD!$H$6:$V$30,14,FALSE)),"",VLOOKUP(CONCATENATE(A6,A41,E6,F6),BD!$H$6:$V$30,14,FALSE))</f>
        <v>16.48</v>
      </c>
      <c r="J6" s="149">
        <f t="shared" ref="J6:J13" si="0">IF(ISERROR(I6*(1-$G$3)),"",I6*(1-$G$3))</f>
        <v>16.48</v>
      </c>
      <c r="L6" s="68"/>
      <c r="M6" s="69"/>
      <c r="N6" s="69"/>
    </row>
    <row r="7" spans="1:16">
      <c r="A7" s="68" t="s">
        <v>2242</v>
      </c>
      <c r="B7" s="149" t="s">
        <v>2243</v>
      </c>
      <c r="C7" s="149" t="s">
        <v>2220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24945.760000000002</v>
      </c>
      <c r="H7" s="149">
        <f t="shared" ref="H7:H30" si="3">IF(B7="","",IF(LEFT(D7,7)="Demanda",G7,G7/1000))</f>
        <v>24945.760000000002</v>
      </c>
      <c r="I7" s="149">
        <f>IF(ISERROR(VLOOKUP(CONCATENATE(A7,A42,E7,F7),BD!$H$6:$V$30,14,FALSE)),"",VLOOKUP(CONCATENATE(A7,A42,E7,F7),BD!$H$6:$V$30,14,FALSE))</f>
        <v>36.25</v>
      </c>
      <c r="J7" s="149">
        <f t="shared" si="0"/>
        <v>36.25</v>
      </c>
    </row>
    <row r="8" spans="1:16">
      <c r="A8" s="68" t="s">
        <v>2242</v>
      </c>
      <c r="B8" s="149" t="s">
        <v>2243</v>
      </c>
      <c r="C8" s="149" t="s">
        <v>2220</v>
      </c>
      <c r="D8" s="149" t="s">
        <v>221</v>
      </c>
      <c r="E8" s="149" t="str">
        <f t="shared" si="1"/>
        <v>Não se aplica</v>
      </c>
      <c r="F8" s="149" t="str">
        <f t="shared" si="2"/>
        <v>Energia</v>
      </c>
      <c r="G8" s="149">
        <f>IF(B8="","",SUMIFS(Faturas!V:V,Faturas!R:R,CUSD!B8,Faturas!S:S,CUSD!C8,Faturas!U:U,CUSD!D8))</f>
        <v>11426378.459999999</v>
      </c>
      <c r="H8" s="149">
        <f t="shared" si="3"/>
        <v>11426.37846</v>
      </c>
      <c r="I8" s="149">
        <f>IF(ISERROR(VLOOKUP(CONCATENATE(A8,A43,E8,F8),BD!$H$6:$V$30,14,FALSE)),"",VLOOKUP(CONCATENATE(A8,A43,E8,F8),BD!$H$6:$V$30,14,FALSE))</f>
        <v>11.15</v>
      </c>
      <c r="J8" s="149">
        <f t="shared" si="0"/>
        <v>11.15</v>
      </c>
      <c r="L8" s="68"/>
      <c r="M8" s="69"/>
    </row>
    <row r="9" spans="1:16">
      <c r="A9" s="68" t="s">
        <v>2242</v>
      </c>
      <c r="B9" s="149" t="s">
        <v>2243</v>
      </c>
      <c r="C9" s="149" t="s">
        <v>2220</v>
      </c>
      <c r="D9" s="149" t="s">
        <v>223</v>
      </c>
      <c r="E9" s="149" t="str">
        <f t="shared" si="1"/>
        <v>Não se aplica</v>
      </c>
      <c r="F9" s="149" t="str">
        <f t="shared" si="2"/>
        <v>Energia</v>
      </c>
      <c r="G9" s="149">
        <f>IF(B9="","",SUMIFS(Faturas!V:V,Faturas!R:R,CUSD!B9,Faturas!S:S,CUSD!C9,Faturas!U:U,CUSD!D9))</f>
        <v>1423558.6</v>
      </c>
      <c r="H9" s="149">
        <f t="shared" si="3"/>
        <v>1423.5586000000001</v>
      </c>
      <c r="I9" s="149">
        <f>IF(ISERROR(VLOOKUP(CONCATENATE(A9,A44,E9,F9),BD!$H$6:$V$30,14,FALSE)),"",VLOOKUP(CONCATENATE(A9,A44,E9,F9),BD!$H$6:$V$30,14,FALSE))</f>
        <v>11.15</v>
      </c>
      <c r="J9" s="149">
        <f t="shared" si="0"/>
        <v>11.15</v>
      </c>
      <c r="L9" s="68"/>
      <c r="M9" s="69"/>
    </row>
    <row r="10" spans="1:16">
      <c r="B10" s="149"/>
      <c r="C10" s="149"/>
      <c r="D10" s="149"/>
      <c r="E10" s="149" t="str">
        <f t="shared" si="1"/>
        <v/>
      </c>
      <c r="F10" s="149" t="str">
        <f t="shared" si="2"/>
        <v/>
      </c>
      <c r="G10" s="149" t="str">
        <f>IF(B10="","",SUMIFS(Faturas!V:V,Faturas!R:R,CUSD!B10,Faturas!S:S,CUSD!C10,Faturas!U:U,CUSD!D10))</f>
        <v/>
      </c>
      <c r="H10" s="149" t="str">
        <f t="shared" si="3"/>
        <v/>
      </c>
      <c r="I10" s="149" t="str">
        <f>IF(ISERROR(VLOOKUP(CONCATENATE(A10,A45,E10,F10),BD!$H$6:$V$30,14,FALSE)),"",VLOOKUP(CONCATENATE(A10,A45,E10,F10),BD!$H$6:$V$30,14,FALSE))</f>
        <v/>
      </c>
      <c r="J10" s="149" t="str">
        <f t="shared" si="0"/>
        <v/>
      </c>
      <c r="L10" s="68"/>
      <c r="M10" s="69"/>
    </row>
    <row r="11" spans="1:16">
      <c r="B11" s="149"/>
      <c r="C11" s="149"/>
      <c r="D11" s="149"/>
      <c r="E11" s="149" t="str">
        <f t="shared" si="1"/>
        <v/>
      </c>
      <c r="F11" s="149" t="str">
        <f t="shared" si="2"/>
        <v/>
      </c>
      <c r="G11" s="149" t="str">
        <f>IF(B11="","",SUMIFS(Faturas!V:V,Faturas!R:R,CUSD!B11,Faturas!S:S,CUSD!C11,Faturas!U:U,CUSD!D11))</f>
        <v/>
      </c>
      <c r="H11" s="149" t="str">
        <f t="shared" si="3"/>
        <v/>
      </c>
      <c r="I11" s="149" t="str">
        <f>IF(ISERROR(VLOOKUP(CONCATENATE(A11,A46,E11,F11),BD!$H$6:$V$30,14,FALSE)),"",VLOOKUP(CONCATENATE(A11,A46,E11,F11),BD!$H$6:$V$30,14,FALSE))</f>
        <v/>
      </c>
      <c r="J11" s="149" t="str">
        <f t="shared" ref="J11" si="4">IF(ISERROR(I11*(1-$G$3)),"",I11*(1-$G$3))</f>
        <v/>
      </c>
      <c r="L11" s="752"/>
      <c r="M11" s="243"/>
      <c r="N11" s="244"/>
      <c r="O11" s="244"/>
      <c r="P11" s="244"/>
    </row>
    <row r="12" spans="1:16">
      <c r="B12" s="149"/>
      <c r="C12" s="149"/>
      <c r="D12" s="149"/>
      <c r="E12" s="149" t="str">
        <f t="shared" si="1"/>
        <v/>
      </c>
      <c r="F12" s="149" t="str">
        <f t="shared" si="2"/>
        <v/>
      </c>
      <c r="G12" s="149" t="str">
        <f>IF(B12="","",SUMIFS(Faturas!V:V,Faturas!R:R,CUSD!B12,Faturas!S:S,CUSD!C12,Faturas!U:U,CUSD!D12))</f>
        <v/>
      </c>
      <c r="H12" s="149" t="str">
        <f t="shared" si="3"/>
        <v/>
      </c>
      <c r="I12" s="149" t="str">
        <f>IF(ISERROR(VLOOKUP(CONCATENATE(A12,A47,E12,F12),BD!$H$6:$V$30,14,FALSE)),"",VLOOKUP(CONCATENATE(A12,A47,E12,F12),BD!$H$6:$V$30,14,FALSE))</f>
        <v/>
      </c>
      <c r="J12" s="149" t="str">
        <f t="shared" si="0"/>
        <v/>
      </c>
      <c r="N12" s="244"/>
      <c r="O12" s="244"/>
      <c r="P12" s="244"/>
    </row>
    <row r="13" spans="1:16">
      <c r="B13" s="149"/>
      <c r="C13" s="149"/>
      <c r="D13" s="149"/>
      <c r="E13" s="149" t="str">
        <f t="shared" si="1"/>
        <v/>
      </c>
      <c r="F13" s="149" t="str">
        <f t="shared" si="2"/>
        <v/>
      </c>
      <c r="G13" s="149" t="str">
        <f>IF(B13="","",SUMIFS(Faturas!V:V,Faturas!R:R,CUSD!B13,Faturas!S:S,CUSD!C13,Faturas!U:U,CUSD!D13))</f>
        <v/>
      </c>
      <c r="H13" s="149" t="str">
        <f t="shared" si="3"/>
        <v/>
      </c>
      <c r="I13" s="149" t="str">
        <f>IF(ISERROR(VLOOKUP(CONCATENATE(A13,A48,E13,F13),BD!$H$6:$V$30,14,FALSE)),"",VLOOKUP(CONCATENATE(A13,A48,E13,F13),BD!$H$6:$V$30,14,FALSE))</f>
        <v/>
      </c>
      <c r="J13" s="149" t="str">
        <f t="shared" si="0"/>
        <v/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1320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1321</v>
      </c>
      <c r="C36" s="292" t="s">
        <v>1322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972</v>
      </c>
      <c r="C37" s="292" t="s">
        <v>1322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1323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1323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A4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A4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67"/>
  <sheetViews>
    <sheetView topLeftCell="E4" workbookViewId="0">
      <selection activeCell="I6" sqref="I6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1" style="68" customWidth="1"/>
    <col min="11" max="11" width="32.5703125" style="68" customWidth="1"/>
    <col min="12" max="12" width="25.85546875" style="68" bestFit="1" customWidth="1"/>
    <col min="13" max="13" width="8" style="68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61" t="s">
        <v>820</v>
      </c>
      <c r="C1" s="1374"/>
      <c r="D1" s="1374"/>
      <c r="E1" s="1374"/>
      <c r="F1" s="1062"/>
      <c r="G1" s="1062"/>
      <c r="H1" s="1271" t="s">
        <v>952</v>
      </c>
      <c r="I1" s="1272">
        <f ca="1">LnkTXTIRTEco</f>
        <v>0.21260000000000001</v>
      </c>
      <c r="J1" s="195"/>
      <c r="K1" s="196"/>
    </row>
    <row r="2" spans="1:15" s="197" customFormat="1" ht="27" customHeight="1">
      <c r="B2" s="138" t="str">
        <f>CAPA!C9</f>
        <v>Cercos</v>
      </c>
      <c r="C2" s="70"/>
      <c r="D2" s="70"/>
      <c r="E2" s="70"/>
      <c r="F2" s="70"/>
      <c r="G2" s="70"/>
      <c r="H2" s="121" t="s">
        <v>956</v>
      </c>
      <c r="I2" s="122">
        <f ca="1">LnkTXTIRTTotal</f>
        <v>8.3900000000000002E-2</v>
      </c>
    </row>
    <row r="3" spans="1:15">
      <c r="B3" s="1065" t="s">
        <v>1324</v>
      </c>
      <c r="C3" s="831"/>
      <c r="E3" s="831" t="str">
        <f>"Encargos "&amp;YEAR(CAPA!C14)</f>
        <v>Encargos 2021</v>
      </c>
      <c r="F3" s="831"/>
      <c r="H3" s="831"/>
      <c r="I3" s="831"/>
      <c r="J3" s="831"/>
      <c r="K3" s="831"/>
      <c r="L3" s="831"/>
      <c r="M3" s="831"/>
      <c r="N3" s="831"/>
      <c r="O3" s="831"/>
    </row>
    <row r="4" spans="1:15">
      <c r="E4" s="1379" t="s">
        <v>72</v>
      </c>
      <c r="F4" s="1379" t="s">
        <v>1325</v>
      </c>
      <c r="H4" s="72"/>
      <c r="I4" s="72"/>
    </row>
    <row r="5" spans="1:15">
      <c r="B5" s="1379" t="s">
        <v>72</v>
      </c>
      <c r="C5" s="1379" t="s">
        <v>37</v>
      </c>
      <c r="E5" s="68" t="s">
        <v>40</v>
      </c>
      <c r="F5" s="116">
        <f>CAPA!D42</f>
        <v>16914.623324865661</v>
      </c>
      <c r="H5" s="1745" t="s">
        <v>1326</v>
      </c>
      <c r="I5" s="1745"/>
      <c r="K5" s="1745" t="s">
        <v>1327</v>
      </c>
      <c r="L5" s="1745"/>
      <c r="N5" s="1745" t="s">
        <v>1328</v>
      </c>
      <c r="O5" s="1745"/>
    </row>
    <row r="6" spans="1:15">
      <c r="B6" s="68" t="s">
        <v>40</v>
      </c>
      <c r="C6" s="80">
        <f ca="1">L14</f>
        <v>22294.131810006256</v>
      </c>
      <c r="E6" s="68" t="s">
        <v>41</v>
      </c>
      <c r="F6" s="116">
        <f>CAPA!D43</f>
        <v>196106.30220000001</v>
      </c>
      <c r="H6" s="201" t="s">
        <v>1329</v>
      </c>
      <c r="I6" s="202">
        <f ca="1">FornecimentoE+LivreE-Calc_Mercado!C16</f>
        <v>8716.3940000000039</v>
      </c>
      <c r="K6" s="519" t="s">
        <v>822</v>
      </c>
      <c r="L6" s="423">
        <f ca="1">LnkTXTER</f>
        <v>12849.937059999998</v>
      </c>
      <c r="N6" s="203" t="s">
        <v>1330</v>
      </c>
      <c r="O6" s="404">
        <v>1E-14</v>
      </c>
    </row>
    <row r="7" spans="1:15" ht="13.5" customHeight="1">
      <c r="B7" s="68" t="s">
        <v>41</v>
      </c>
      <c r="C7" s="80">
        <f ca="1">I20+I19</f>
        <v>326721.76126000017</v>
      </c>
      <c r="D7" s="198"/>
      <c r="E7" s="68" t="s">
        <v>126</v>
      </c>
      <c r="F7" s="116">
        <f>CAPA!D44</f>
        <v>0</v>
      </c>
      <c r="H7" s="1424" t="s">
        <v>1331</v>
      </c>
      <c r="I7" s="1425">
        <v>14.13</v>
      </c>
      <c r="K7" s="519" t="s">
        <v>1168</v>
      </c>
      <c r="L7" s="423">
        <f ca="1">Energia!L7</f>
        <v>0</v>
      </c>
      <c r="N7" s="203" t="s">
        <v>1332</v>
      </c>
      <c r="O7" s="204">
        <f ca="1">SUM(C12+C6+C9+C10+C8)</f>
        <v>145456.77903000632</v>
      </c>
    </row>
    <row r="8" spans="1:15">
      <c r="B8" s="68" t="s">
        <v>126</v>
      </c>
      <c r="C8" s="80">
        <v>0</v>
      </c>
      <c r="D8" s="198"/>
      <c r="E8" s="68" t="s">
        <v>46</v>
      </c>
      <c r="F8" s="116">
        <f>CAPA!D45</f>
        <v>0</v>
      </c>
      <c r="K8" s="519" t="s">
        <v>1171</v>
      </c>
      <c r="L8" s="423">
        <f ca="1">LnkTXTPerdas</f>
        <v>1629.2540599999938</v>
      </c>
      <c r="N8" s="203" t="s">
        <v>794</v>
      </c>
      <c r="O8" s="269">
        <f>Resultado!D24</f>
        <v>1447629.078219</v>
      </c>
    </row>
    <row r="9" spans="1:15">
      <c r="B9" s="68" t="s">
        <v>1333</v>
      </c>
      <c r="C9" s="861">
        <f>IFERROR(VLOOKUP("ESS/EER",TabEncargosBancoConsolidados[],2,FALSE),0)</f>
        <v>0</v>
      </c>
      <c r="D9" s="69"/>
      <c r="E9" s="68" t="s">
        <v>47</v>
      </c>
      <c r="F9" s="116">
        <f>CAPA!D46</f>
        <v>80404.590640000009</v>
      </c>
      <c r="H9" s="1745" t="s">
        <v>1334</v>
      </c>
      <c r="I9" s="1745"/>
      <c r="K9" s="519" t="s">
        <v>1335</v>
      </c>
      <c r="L9" s="423">
        <f ca="1">SUM(L6:L7,-L8)</f>
        <v>11220.683000000005</v>
      </c>
      <c r="N9" s="203" t="s">
        <v>120</v>
      </c>
      <c r="O9" s="268">
        <f ca="1">Resultado!D33</f>
        <v>3218115.4223371609</v>
      </c>
    </row>
    <row r="10" spans="1:15">
      <c r="B10" s="68" t="s">
        <v>47</v>
      </c>
      <c r="C10" s="80">
        <f ca="1">IFERROR(Encargos!I7*I6,0)</f>
        <v>123162.64722000006</v>
      </c>
      <c r="D10" s="198"/>
      <c r="E10" s="1648" t="s">
        <v>49</v>
      </c>
      <c r="F10" s="116">
        <f>CAPA!D48</f>
        <v>0</v>
      </c>
      <c r="H10" s="1426" t="s">
        <v>1336</v>
      </c>
      <c r="I10" s="1427">
        <f ca="1">FornecimentoE_A1+Calc_Mercado!C10+Calc_Mercado!C11+Calc_Mercado!C114+Calc_Mercado!C115</f>
        <v>0</v>
      </c>
      <c r="K10" s="519" t="s">
        <v>1337</v>
      </c>
      <c r="L10" s="423">
        <f ca="1">SUM(L6:L7)</f>
        <v>12849.937059999998</v>
      </c>
      <c r="N10" s="203" t="s">
        <v>1338</v>
      </c>
      <c r="O10" s="204">
        <f>Resultado!D39</f>
        <v>5374442.8200000003</v>
      </c>
    </row>
    <row r="11" spans="1:15">
      <c r="B11" s="68" t="s">
        <v>1339</v>
      </c>
      <c r="C11" s="80">
        <v>1E-4</v>
      </c>
      <c r="D11" s="198"/>
      <c r="E11" s="831" t="s">
        <v>2215</v>
      </c>
      <c r="F11" s="1293">
        <f>CAPA!D47</f>
        <v>0</v>
      </c>
      <c r="H11" s="201" t="s">
        <v>1340</v>
      </c>
      <c r="I11" s="141">
        <f ca="1">Calc_Mercado!C12+Calc_Mercado!C13+Calc_Mercado!C14+Calc_Mercado!C116+Calc_Mercado!C117</f>
        <v>312.81800000000004</v>
      </c>
      <c r="K11" s="519" t="s">
        <v>1341</v>
      </c>
      <c r="L11" s="423">
        <f>BD!C32</f>
        <v>0.8420175939497041</v>
      </c>
      <c r="N11" s="203" t="s">
        <v>1342</v>
      </c>
      <c r="O11" s="205">
        <f ca="1">IF(O6=0,0,O6*(SUM(O7:O10)-Q7))</f>
        <v>1.0185644099586167E-7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31" t="str">
        <f>"Encargos "&amp;YEAR(CAPA!C14)-1</f>
        <v>Encargos 2020</v>
      </c>
      <c r="F12" s="831"/>
      <c r="H12" s="201" t="s">
        <v>1343</v>
      </c>
      <c r="I12" s="141">
        <f ca="1">FornecimentoE_BT-Calc_Mercado!C16+Calc_Mercado!C119+Calc_Mercado!C118</f>
        <v>8403.5760000000046</v>
      </c>
      <c r="K12" s="519" t="s">
        <v>1344</v>
      </c>
      <c r="L12" s="45">
        <v>4.0000000000000001E-3</v>
      </c>
      <c r="N12" s="203" t="s">
        <v>1345</v>
      </c>
      <c r="O12" s="205">
        <f ca="1">Financeiros!D7</f>
        <v>-1115659.7895383865</v>
      </c>
    </row>
    <row r="13" spans="1:15">
      <c r="B13" s="1428" t="s">
        <v>846</v>
      </c>
      <c r="C13" s="1429">
        <f ca="1">SUM(C6:C12)</f>
        <v>472178.5403900065</v>
      </c>
      <c r="D13" s="198"/>
      <c r="E13" s="1379" t="s">
        <v>72</v>
      </c>
      <c r="F13" s="1379" t="s">
        <v>1325</v>
      </c>
      <c r="H13" s="1430" t="s">
        <v>1346</v>
      </c>
      <c r="I13" s="1431">
        <v>23.38</v>
      </c>
      <c r="K13" s="1432" t="s">
        <v>1347</v>
      </c>
      <c r="L13" s="1433">
        <f ca="1">LnkTXTIParcelaBcomSub+Energia!F18</f>
        <v>5374442.8200000003</v>
      </c>
      <c r="N13" s="1434" t="s">
        <v>1348</v>
      </c>
      <c r="O13" s="1435">
        <f ca="1">O12*O6+O11</f>
        <v>9.0699843100477799E-8</v>
      </c>
    </row>
    <row r="14" spans="1:15">
      <c r="E14" s="68" t="s">
        <v>40</v>
      </c>
      <c r="F14" s="1436">
        <f>BD!C37</f>
        <v>17019.328792151529</v>
      </c>
      <c r="H14" s="262" t="s">
        <v>1349</v>
      </c>
      <c r="I14" s="870">
        <v>31.67</v>
      </c>
      <c r="K14" s="1437" t="s">
        <v>40</v>
      </c>
      <c r="L14" s="1438">
        <f ca="1">L12*1/L11*L9/L10*L13</f>
        <v>22294.131810006256</v>
      </c>
    </row>
    <row r="15" spans="1:15">
      <c r="E15" s="68" t="s">
        <v>41</v>
      </c>
      <c r="F15" s="80">
        <f>BD!C35</f>
        <v>166737.97728999998</v>
      </c>
      <c r="H15" s="1439" t="s">
        <v>1350</v>
      </c>
      <c r="I15" s="1440">
        <v>37.700000000000003</v>
      </c>
    </row>
    <row r="16" spans="1:15">
      <c r="E16" s="68" t="s">
        <v>126</v>
      </c>
      <c r="F16" s="80">
        <v>0</v>
      </c>
      <c r="H16" s="1327" t="s">
        <v>1351</v>
      </c>
      <c r="I16" s="1431">
        <v>55.4</v>
      </c>
      <c r="L16" s="124"/>
    </row>
    <row r="17" spans="2:13">
      <c r="E17" s="68" t="s">
        <v>46</v>
      </c>
      <c r="F17" s="80">
        <v>0</v>
      </c>
      <c r="H17" s="68" t="s">
        <v>1352</v>
      </c>
      <c r="I17" s="870">
        <v>75.06</v>
      </c>
      <c r="K17" s="69"/>
      <c r="L17" s="69"/>
    </row>
    <row r="18" spans="2:13">
      <c r="C18" s="108"/>
      <c r="D18" s="108"/>
      <c r="E18" s="68" t="s">
        <v>47</v>
      </c>
      <c r="F18" s="80">
        <f>BD!C36</f>
        <v>63856.354850000003</v>
      </c>
      <c r="G18" s="108"/>
      <c r="H18" s="831" t="s">
        <v>1353</v>
      </c>
      <c r="I18" s="1440">
        <v>89.35</v>
      </c>
    </row>
    <row r="19" spans="2:13">
      <c r="C19" s="108"/>
      <c r="D19" s="108"/>
      <c r="E19" s="831" t="s">
        <v>49</v>
      </c>
      <c r="F19" s="1441">
        <v>0</v>
      </c>
      <c r="G19" s="108"/>
      <c r="H19" s="68" t="s">
        <v>1354</v>
      </c>
      <c r="I19" s="69">
        <f ca="1">IF(CAPA!C10="S/SE/CO",Encargos!I10*Encargos!I16+Encargos!I11*Encargos!I17+Encargos!I12*Encargos!I18,Encargos!I10*Encargos!I13+Encargos!I11*Encargos!I14+Encargos!I12*Encargos!I15)</f>
        <v>326721.76126000017</v>
      </c>
    </row>
    <row r="20" spans="2:13">
      <c r="C20" s="108"/>
      <c r="D20" s="108"/>
      <c r="F20" s="80"/>
      <c r="G20" s="108"/>
      <c r="H20" s="1442" t="s">
        <v>1355</v>
      </c>
      <c r="I20" s="1443">
        <f>IFERROR(VLOOKUP("CDE Covid",TabEncargosBancoConsolidados[],2,FALSE),0)</f>
        <v>0</v>
      </c>
    </row>
    <row r="21" spans="2:13" ht="15" customHeight="1">
      <c r="B21" s="1065" t="s">
        <v>1356</v>
      </c>
      <c r="C21" s="831"/>
      <c r="D21" s="831"/>
      <c r="E21" s="831"/>
      <c r="F21" s="831"/>
      <c r="G21" s="831"/>
      <c r="J21" s="831"/>
      <c r="K21" s="831"/>
      <c r="L21" s="831"/>
      <c r="M21" s="193"/>
    </row>
    <row r="22" spans="2:13">
      <c r="B22" s="271"/>
      <c r="C22" s="270"/>
      <c r="D22" s="270"/>
      <c r="E22" s="267"/>
    </row>
    <row r="23" spans="2:13">
      <c r="C23" s="198" t="s">
        <v>119</v>
      </c>
      <c r="D23" s="198" t="s">
        <v>1357</v>
      </c>
      <c r="E23" s="198"/>
      <c r="F23" s="198"/>
      <c r="G23" s="198"/>
      <c r="L23" s="193"/>
      <c r="M23" s="194"/>
    </row>
    <row r="24" spans="2:13" ht="16.5" customHeight="1">
      <c r="C24" s="1379" t="s">
        <v>2222</v>
      </c>
      <c r="D24" s="1379" t="s">
        <v>46</v>
      </c>
      <c r="E24" s="1379" t="s">
        <v>40</v>
      </c>
      <c r="F24" s="1379" t="s">
        <v>41</v>
      </c>
      <c r="G24" s="1379" t="s">
        <v>47</v>
      </c>
      <c r="H24" s="1379" t="s">
        <v>1358</v>
      </c>
      <c r="J24" s="1746" t="s">
        <v>1359</v>
      </c>
      <c r="K24" s="1746"/>
      <c r="L24" s="273"/>
    </row>
    <row r="25" spans="2:13">
      <c r="B25" s="272">
        <f>Indexador!B68</f>
        <v>44317</v>
      </c>
      <c r="C25" s="1284">
        <f ca="1">IF(CAPA!$C$113="Não",C41-C56,IF(Indexador!$B68&lt;CAPA!$C$114,0,C41-C56))</f>
        <v>0</v>
      </c>
      <c r="D25" s="1284">
        <f ca="1">IF(CAPA!$C$113="Não",D41-D56,IF(Indexador!$B68&lt;CAPA!$C$114,0,D41-D56))</f>
        <v>0</v>
      </c>
      <c r="E25" s="1284">
        <f ca="1">IF(CAPA!$C$113="Não",E41-E56,IF(Indexador!$B68&lt;CAPA!$C$114,0,E41-E56))</f>
        <v>-34.521193982584464</v>
      </c>
      <c r="F25" s="1284">
        <f ca="1">IF(CAPA!$C$113="Não",F41-F56,IF(Indexador!$B68&lt;CAPA!$C$114,0,F41-F56))</f>
        <v>-57.796479856233418</v>
      </c>
      <c r="G25" s="1284">
        <f ca="1">IF(CAPA!$C$113="Não",G41-G56,IF(Indexador!$B68&lt;CAPA!$C$114,0,G41-G56))</f>
        <v>-22.73044083550667</v>
      </c>
      <c r="H25" s="1284">
        <f ca="1">IF(CAPA!$C$113="Não",H41-H56,IF(Indexador!$B68&lt;CAPA!$C$114,0,H41-H56))</f>
        <v>-115.04811467432592</v>
      </c>
      <c r="J25" s="68" t="s">
        <v>40</v>
      </c>
      <c r="K25" s="116">
        <f ca="1">Indexador!H80</f>
        <v>-878.65841579449477</v>
      </c>
      <c r="L25" s="80"/>
    </row>
    <row r="26" spans="2:13">
      <c r="B26" s="272">
        <f>Indexador!B69</f>
        <v>44348</v>
      </c>
      <c r="C26" s="116">
        <f ca="1">IF(CAPA!$C$113="Não",C42-C57,IF(Indexador!B69&lt;CAPA!$C$114,0,C42-C57))</f>
        <v>0</v>
      </c>
      <c r="D26" s="116">
        <f ca="1">IF(CAPA!$C$113="Não",D42-D57,IF(Indexador!$B69&lt;CAPA!$C$114,0,D42-D57))</f>
        <v>0</v>
      </c>
      <c r="E26" s="116">
        <f ca="1">IF(CAPA!$C$113="Não",E42-E57,IF(Indexador!$B69&lt;CAPA!$C$114,0,E42-E57))</f>
        <v>22.408173357985106</v>
      </c>
      <c r="F26" s="116">
        <f ca="1">IF(CAPA!$C$113="Não",F42-F57,IF(Indexador!$B69&lt;CAPA!$C$114,0,F42-F57))</f>
        <v>491.93502750472544</v>
      </c>
      <c r="G26" s="116">
        <f ca="1">IF(CAPA!$C$113="Não",G42-G57,IF(Indexador!$B69&lt;CAPA!$C$114,0,G42-G57))</f>
        <v>199.86549983102486</v>
      </c>
      <c r="H26" s="116">
        <f ca="1">IF(CAPA!$C$113="Não",H42-H57,IF(Indexador!$B69&lt;CAPA!$C$114,0,H42-H57))</f>
        <v>714.20870069373268</v>
      </c>
      <c r="J26" s="68" t="s">
        <v>1360</v>
      </c>
      <c r="K26" s="116">
        <f ca="1">Indexador!J80+Indexador!L80</f>
        <v>-2691.1137489444864</v>
      </c>
      <c r="L26" s="80"/>
    </row>
    <row r="27" spans="2:13">
      <c r="B27" s="272">
        <f>Indexador!B70</f>
        <v>44378</v>
      </c>
      <c r="C27" s="116">
        <f ca="1">IF(CAPA!$C$113="Não",C43-C58,IF(Indexador!B70&lt;CAPA!$C$114,0,C43-C58))</f>
        <v>0</v>
      </c>
      <c r="D27" s="116">
        <f ca="1">IF(CAPA!$C$113="Não",D43-D58,IF(Indexador!$B70&lt;CAPA!$C$114,0,D43-D58))</f>
        <v>0</v>
      </c>
      <c r="E27" s="116">
        <f ca="1">IF(CAPA!$C$113="Não",E43-E58,IF(Indexador!$B70&lt;CAPA!$C$114,0,E43-E58))</f>
        <v>69.854296572317253</v>
      </c>
      <c r="F27" s="116">
        <f ca="1">IF(CAPA!$C$113="Não",F43-F58,IF(Indexador!$B70&lt;CAPA!$C$114,0,F43-F58))</f>
        <v>1067.7981675605406</v>
      </c>
      <c r="G27" s="116">
        <f ca="1">IF(CAPA!$C$113="Não",G43-G58,IF(Indexador!$B70&lt;CAPA!$C$114,0,G43-G58))</f>
        <v>434.90642834959635</v>
      </c>
      <c r="H27" s="116">
        <f ca="1">IF(CAPA!$C$113="Não",H43-H58,IF(Indexador!$B70&lt;CAPA!$C$114,0,H43-H58))</f>
        <v>1572.5588924824551</v>
      </c>
      <c r="J27" s="68" t="s">
        <v>126</v>
      </c>
      <c r="K27" s="116">
        <f>0</f>
        <v>0</v>
      </c>
      <c r="L27" s="80"/>
    </row>
    <row r="28" spans="2:13">
      <c r="B28" s="272">
        <f>Indexador!B71</f>
        <v>44409</v>
      </c>
      <c r="C28" s="116">
        <f ca="1">IF(CAPA!$C$113="Não",C44-C59,IF(Indexador!B71&lt;CAPA!$C$114,0,C44-C59))</f>
        <v>0</v>
      </c>
      <c r="D28" s="116">
        <f ca="1">IF(CAPA!$C$113="Não",D44-D59,IF(Indexador!$B71&lt;CAPA!$C$114,0,D44-D59))</f>
        <v>0</v>
      </c>
      <c r="E28" s="116">
        <f ca="1">IF(CAPA!$C$113="Não",E44-E59,IF(Indexador!$B71&lt;CAPA!$C$114,0,E44-E59))</f>
        <v>73.615200719614904</v>
      </c>
      <c r="F28" s="116">
        <f ca="1">IF(CAPA!$C$113="Não",F44-F59,IF(Indexador!$B71&lt;CAPA!$C$114,0,F44-F59))</f>
        <v>1135.5399512726981</v>
      </c>
      <c r="G28" s="116">
        <f ca="1">IF(CAPA!$C$113="Não",G44-G59,IF(Indexador!$B71&lt;CAPA!$C$114,0,G44-G59))</f>
        <v>459.17558201333304</v>
      </c>
      <c r="H28" s="116">
        <f ca="1">IF(CAPA!$C$113="Não",H44-H59,IF(Indexador!$B71&lt;CAPA!$C$114,0,H44-H59))</f>
        <v>1668.3307340056454</v>
      </c>
      <c r="J28" s="68" t="s">
        <v>46</v>
      </c>
      <c r="K28" s="116">
        <f ca="1">Indexador!F80</f>
        <v>0</v>
      </c>
      <c r="L28" s="80"/>
    </row>
    <row r="29" spans="2:13">
      <c r="B29" s="272">
        <f>Indexador!B72</f>
        <v>44440</v>
      </c>
      <c r="C29" s="116">
        <f ca="1">IF(CAPA!$C$113="Não",C45-C60,IF(Indexador!B72&lt;CAPA!$C$114,0,C45-C60))</f>
        <v>0</v>
      </c>
      <c r="D29" s="116">
        <f ca="1">IF(CAPA!$C$113="Não",D45-D60,IF(Indexador!$B72&lt;CAPA!$C$114,0,D45-D60))</f>
        <v>0</v>
      </c>
      <c r="E29" s="116">
        <f ca="1">IF(CAPA!$C$113="Não",E45-E60,IF(Indexador!$B72&lt;CAPA!$C$114,0,E45-E60))</f>
        <v>17.024067031150707</v>
      </c>
      <c r="F29" s="116">
        <f ca="1">IF(CAPA!$C$113="Não",F45-F60,IF(Indexador!$B72&lt;CAPA!$C$114,0,F45-F60))</f>
        <v>380.49238299864555</v>
      </c>
      <c r="G29" s="116">
        <f ca="1">IF(CAPA!$C$113="Não",G45-G60,IF(Indexador!$B72&lt;CAPA!$C$114,0,G45-G60))</f>
        <v>143.31177143320747</v>
      </c>
      <c r="H29" s="116">
        <f ca="1">IF(CAPA!$C$113="Não",H45-H60,IF(Indexador!$B72&lt;CAPA!$C$114,0,H45-H60))</f>
        <v>540.82822146300168</v>
      </c>
      <c r="J29" s="68" t="s">
        <v>47</v>
      </c>
      <c r="K29" s="116">
        <f ca="1">Indexador!N80</f>
        <v>-1175.0322466898426</v>
      </c>
      <c r="L29" s="80"/>
    </row>
    <row r="30" spans="2:13">
      <c r="B30" s="272">
        <f>Indexador!B73</f>
        <v>44470</v>
      </c>
      <c r="C30" s="116">
        <f ca="1">IF(CAPA!$C$113="Não",C46-C61,IF(Indexador!B73&lt;CAPA!$C$114,0,C46-C61))</f>
        <v>0</v>
      </c>
      <c r="D30" s="116">
        <f ca="1">IF(CAPA!$C$113="Não",D46-D61,IF(Indexador!$B73&lt;CAPA!$C$114,0,D46-D61))</f>
        <v>0</v>
      </c>
      <c r="E30" s="116">
        <f ca="1">IF(CAPA!$C$113="Não",E46-E61,IF(Indexador!$B73&lt;CAPA!$C$114,0,E46-E61))</f>
        <v>-8.6269294905152947</v>
      </c>
      <c r="F30" s="116">
        <f ca="1">IF(CAPA!$C$113="Não",F46-F61,IF(Indexador!$B73&lt;CAPA!$C$114,0,F46-F61))</f>
        <v>121.21152450677619</v>
      </c>
      <c r="G30" s="116">
        <f ca="1">IF(CAPA!$C$113="Não",G46-G61,IF(Indexador!$B73&lt;CAPA!$C$114,0,G46-G61))</f>
        <v>40.938714776428242</v>
      </c>
      <c r="H30" s="116">
        <f ca="1">IF(CAPA!$C$113="Não",H46-H61,IF(Indexador!$B73&lt;CAPA!$C$114,0,H46-H61))</f>
        <v>153.52330979269027</v>
      </c>
      <c r="J30" s="68" t="s">
        <v>49</v>
      </c>
      <c r="K30" s="116">
        <f ca="1">Indexador!D80</f>
        <v>0</v>
      </c>
      <c r="L30" s="80"/>
    </row>
    <row r="31" spans="2:13">
      <c r="B31" s="272">
        <f>Indexador!B74</f>
        <v>44501</v>
      </c>
      <c r="C31" s="116">
        <f ca="1">IF(CAPA!$C$113="Não",C47-C62,IF(Indexador!B74&lt;CAPA!$C$114,0,C47-C62))</f>
        <v>0</v>
      </c>
      <c r="D31" s="116">
        <f ca="1">IF(CAPA!$C$113="Não",D47-D62,IF(Indexador!$B74&lt;CAPA!$C$114,0,D47-D62))</f>
        <v>0</v>
      </c>
      <c r="E31" s="116">
        <f ca="1">IF(CAPA!$C$113="Não",E47-E62,IF(Indexador!$B74&lt;CAPA!$C$114,0,E47-E62))</f>
        <v>-245.5301588268851</v>
      </c>
      <c r="F31" s="116">
        <f ca="1">IF(CAPA!$C$113="Não",F47-F62,IF(Indexador!$B74&lt;CAPA!$C$114,0,F47-F62))</f>
        <v>-2346.2609750978791</v>
      </c>
      <c r="G31" s="116">
        <f ca="1">IF(CAPA!$C$113="Não",G47-G62,IF(Indexador!$B74&lt;CAPA!$C$114,0,G47-G62))</f>
        <v>-969.9726030333095</v>
      </c>
      <c r="H31" s="116">
        <f ca="1">IF(CAPA!$C$113="Não",H47-H62,IF(Indexador!$B74&lt;CAPA!$C$114,0,H47-H62))</f>
        <v>-3561.7637369580771</v>
      </c>
      <c r="J31" s="831" t="s">
        <v>48</v>
      </c>
      <c r="K31" s="1324">
        <f ca="1">Indexador!L80</f>
        <v>0</v>
      </c>
      <c r="L31" s="80"/>
    </row>
    <row r="32" spans="2:13">
      <c r="B32" s="272">
        <f>Indexador!B75</f>
        <v>44531</v>
      </c>
      <c r="C32" s="116">
        <f ca="1">IF(CAPA!$C$113="Não",C48-C63,IF(Indexador!B75&lt;CAPA!$C$114,0,C48-C63))</f>
        <v>0</v>
      </c>
      <c r="D32" s="116">
        <f ca="1">IF(CAPA!$C$113="Não",D48-D63,IF(Indexador!$B75&lt;CAPA!$C$114,0,D48-D63))</f>
        <v>0</v>
      </c>
      <c r="E32" s="116">
        <f ca="1">IF(CAPA!$C$113="Não",E48-E63,IF(Indexador!$B75&lt;CAPA!$C$114,0,E48-E63))</f>
        <v>-158.29181139450316</v>
      </c>
      <c r="F32" s="116">
        <f ca="1">IF(CAPA!$C$113="Não",F48-F63,IF(Indexador!$B75&lt;CAPA!$C$114,0,F48-F63))</f>
        <v>-1377.7786137181629</v>
      </c>
      <c r="G32" s="116">
        <f ca="1">IF(CAPA!$C$113="Não",G48-G63,IF(Indexador!$B75&lt;CAPA!$C$114,0,G48-G63))</f>
        <v>-576.52564445585358</v>
      </c>
      <c r="H32" s="116">
        <f ca="1">IF(CAPA!$C$113="Não",H48-H63,IF(Indexador!$B75&lt;CAPA!$C$114,0,H48-H63))</f>
        <v>-2112.5960695685208</v>
      </c>
      <c r="J32" s="71" t="s">
        <v>837</v>
      </c>
      <c r="K32" s="274">
        <f ca="1">SUM(K25:K30)</f>
        <v>-4744.8044114288241</v>
      </c>
      <c r="L32" s="80"/>
    </row>
    <row r="33" spans="2:12">
      <c r="B33" s="272">
        <f>Indexador!B76</f>
        <v>44562</v>
      </c>
      <c r="C33" s="116">
        <f ca="1">IF(CAPA!$C$113="Não",C49-C64,IF(Indexador!B76&lt;CAPA!$C$114,0,C49-C64))</f>
        <v>0</v>
      </c>
      <c r="D33" s="116">
        <f ca="1">IF(CAPA!$C$113="Não",D49-D64,IF(Indexador!$B76&lt;CAPA!$C$114,0,D49-D64))</f>
        <v>0</v>
      </c>
      <c r="E33" s="116">
        <f ca="1">IF(CAPA!$C$113="Não",E49-E64,IF(Indexador!$B76&lt;CAPA!$C$114,0,E49-E64))</f>
        <v>-116.93960180374506</v>
      </c>
      <c r="F33" s="116">
        <f ca="1">IF(CAPA!$C$113="Não",F49-F64,IF(Indexador!$B76&lt;CAPA!$C$114,0,F49-F64))</f>
        <v>-808.48197453064313</v>
      </c>
      <c r="G33" s="116">
        <f ca="1">IF(CAPA!$C$113="Não",G49-G64,IF(Indexador!$B76&lt;CAPA!$C$114,0,G49-G64))</f>
        <v>-333.03093009782424</v>
      </c>
      <c r="H33" s="116">
        <f ca="1">IF(CAPA!$C$113="Não",H49-H64,IF(Indexador!$B76&lt;CAPA!$C$114,0,H49-H64))</f>
        <v>-1258.4525064322152</v>
      </c>
      <c r="L33" s="80"/>
    </row>
    <row r="34" spans="2:12">
      <c r="B34" s="272">
        <f>Indexador!B77</f>
        <v>44593</v>
      </c>
      <c r="C34" s="116">
        <f ca="1">IF(CAPA!$C$113="Não",C50-C65,IF(Indexador!B77&lt;CAPA!$C$114,0,C50-C65))</f>
        <v>0</v>
      </c>
      <c r="D34" s="116">
        <f ca="1">IF(CAPA!$C$113="Não",D50-D65,IF(Indexador!$B77&lt;CAPA!$C$114,0,D50-D65))</f>
        <v>0</v>
      </c>
      <c r="E34" s="116">
        <f ca="1">IF(CAPA!$C$113="Não",E50-E65,IF(Indexador!$B77&lt;CAPA!$C$114,0,E50-E65))</f>
        <v>-93.576587010094727</v>
      </c>
      <c r="F34" s="116">
        <f ca="1">IF(CAPA!$C$113="Não",F50-F65,IF(Indexador!$B77&lt;CAPA!$C$114,0,F50-F65))</f>
        <v>-0.61972300625166099</v>
      </c>
      <c r="G34" s="116">
        <f ca="1">IF(CAPA!$C$113="Não",G50-G65,IF(Indexador!$B77&lt;CAPA!$C$114,0,G50-G65))</f>
        <v>-2.9133055441907345</v>
      </c>
      <c r="H34" s="116">
        <f ca="1">IF(CAPA!$C$113="Não",H50-H65,IF(Indexador!$B77&lt;CAPA!$C$114,0,H50-H65))</f>
        <v>-97.10961556053735</v>
      </c>
      <c r="L34" s="80"/>
    </row>
    <row r="35" spans="2:12">
      <c r="B35" s="272">
        <f>Indexador!B78</f>
        <v>44621</v>
      </c>
      <c r="C35" s="116">
        <f ca="1">IF(CAPA!$C$113="Não",C51-C66,IF(Indexador!B78&lt;CAPA!$C$114,0,C51-C66))</f>
        <v>0</v>
      </c>
      <c r="D35" s="116">
        <f ca="1">IF(CAPA!$C$113="Não",D51-D66,IF(Indexador!$B78&lt;CAPA!$C$114,0,D51-D66))</f>
        <v>0</v>
      </c>
      <c r="E35" s="116">
        <f ca="1">IF(CAPA!$C$113="Não",E51-E66,IF(Indexador!$B78&lt;CAPA!$C$114,0,E51-E66))</f>
        <v>-216.88487142347617</v>
      </c>
      <c r="F35" s="116">
        <f ca="1">IF(CAPA!$C$113="Não",F51-F66,IF(Indexador!$B78&lt;CAPA!$C$114,0,F51-F66))</f>
        <v>-1061.2727244300313</v>
      </c>
      <c r="G35" s="116">
        <f ca="1">IF(CAPA!$C$113="Não",G51-G66,IF(Indexador!$B78&lt;CAPA!$C$114,0,G51-G66))</f>
        <v>-441.53814738589153</v>
      </c>
      <c r="H35" s="116">
        <f ca="1">IF(CAPA!$C$113="Não",H51-H66,IF(Indexador!$B78&lt;CAPA!$C$114,0,H51-H66))</f>
        <v>-1719.6957432393974</v>
      </c>
      <c r="L35" s="80"/>
    </row>
    <row r="36" spans="2:12">
      <c r="B36" s="272">
        <f>Indexador!B79</f>
        <v>44652</v>
      </c>
      <c r="C36" s="1293">
        <f ca="1">IF(CAPA!$C$113="Não",C52-C67,IF(Indexador!B79&lt;CAPA!$C$114,0,C52-C67))</f>
        <v>0</v>
      </c>
      <c r="D36" s="1293">
        <f ca="1">IF(CAPA!$C$113="Não",D52-D67,IF(Indexador!$B79&lt;CAPA!$C$114,0,D52-D67))</f>
        <v>0</v>
      </c>
      <c r="E36" s="1293">
        <f ca="1">IF(CAPA!$C$113="Não",E52-E67,IF(Indexador!$B79&lt;CAPA!$C$114,0,E52-E67))</f>
        <v>-161.85905556767807</v>
      </c>
      <c r="F36" s="1293">
        <f ca="1">IF(CAPA!$C$113="Não",F52-F67,IF(Indexador!$B79&lt;CAPA!$C$114,0,F52-F67))</f>
        <v>-269.93136009911359</v>
      </c>
      <c r="G36" s="1293">
        <f ca="1">IF(CAPA!$C$113="Não",G52-G67,IF(Indexador!$B79&lt;CAPA!$C$114,0,G52-G67))</f>
        <v>-116.26102483784962</v>
      </c>
      <c r="H36" s="1293">
        <f ca="1">IF(CAPA!$C$113="Não",H52-H67,IF(Indexador!$B79&lt;CAPA!$C$114,0,H52-H67))</f>
        <v>-548.0514405046415</v>
      </c>
      <c r="L36" s="80"/>
    </row>
    <row r="38" spans="2:12">
      <c r="I38" s="142"/>
    </row>
    <row r="39" spans="2:12">
      <c r="C39" s="198" t="s">
        <v>1325</v>
      </c>
      <c r="D39" s="198"/>
      <c r="E39" s="198"/>
      <c r="F39" s="198"/>
      <c r="I39" s="142"/>
    </row>
    <row r="40" spans="2:12">
      <c r="C40" s="1379" t="s">
        <v>2221</v>
      </c>
      <c r="D40" s="1379" t="s">
        <v>46</v>
      </c>
      <c r="E40" s="1379" t="s">
        <v>40</v>
      </c>
      <c r="F40" s="1379" t="s">
        <v>41</v>
      </c>
      <c r="G40" s="1379" t="s">
        <v>47</v>
      </c>
      <c r="H40" s="1379" t="s">
        <v>1361</v>
      </c>
      <c r="I40" s="142"/>
    </row>
    <row r="41" spans="2:12">
      <c r="B41" s="272">
        <f>Indexador!B37</f>
        <v>44317</v>
      </c>
      <c r="C41" s="1663">
        <f>-'Conta covid'!$C$17/12</f>
        <v>0</v>
      </c>
      <c r="D41" s="1444">
        <f>$F$8/12</f>
        <v>0</v>
      </c>
      <c r="E41" s="1284">
        <f t="shared" ref="E41:E52" si="0">$F$5/12</f>
        <v>1409.551943738805</v>
      </c>
      <c r="F41" s="116">
        <f t="shared" ref="F41:F52" si="1">$F$6/12</f>
        <v>16342.191850000001</v>
      </c>
      <c r="G41" s="116">
        <f t="shared" ref="G41:G52" si="2">$F$9/12</f>
        <v>6700.3825533333338</v>
      </c>
      <c r="H41" s="1445">
        <f t="shared" ref="H41:H52" si="3">SUM(C41:G41)</f>
        <v>24452.126347072139</v>
      </c>
      <c r="I41" s="142"/>
    </row>
    <row r="42" spans="2:12">
      <c r="B42" s="272">
        <f>Indexador!B38</f>
        <v>44348</v>
      </c>
      <c r="C42" s="116">
        <f>-'Conta covid'!$C$17/12</f>
        <v>0</v>
      </c>
      <c r="D42" s="142">
        <f t="shared" ref="D42:D52" si="4">$F$8/12</f>
        <v>0</v>
      </c>
      <c r="E42" s="116">
        <f t="shared" si="0"/>
        <v>1409.551943738805</v>
      </c>
      <c r="F42" s="116">
        <f t="shared" si="1"/>
        <v>16342.191850000001</v>
      </c>
      <c r="G42" s="116">
        <f t="shared" si="2"/>
        <v>6700.3825533333338</v>
      </c>
      <c r="H42" s="144">
        <f t="shared" si="3"/>
        <v>24452.126347072139</v>
      </c>
      <c r="I42" s="142"/>
    </row>
    <row r="43" spans="2:12">
      <c r="B43" s="272">
        <f>Indexador!B39</f>
        <v>44378</v>
      </c>
      <c r="C43" s="116">
        <f>-'Conta covid'!$C$17/12</f>
        <v>0</v>
      </c>
      <c r="D43" s="142">
        <f t="shared" si="4"/>
        <v>0</v>
      </c>
      <c r="E43" s="116">
        <f t="shared" si="0"/>
        <v>1409.551943738805</v>
      </c>
      <c r="F43" s="116">
        <f t="shared" si="1"/>
        <v>16342.191850000001</v>
      </c>
      <c r="G43" s="116">
        <f t="shared" si="2"/>
        <v>6700.3825533333338</v>
      </c>
      <c r="H43" s="144">
        <f t="shared" si="3"/>
        <v>24452.126347072139</v>
      </c>
      <c r="I43" s="142"/>
    </row>
    <row r="44" spans="2:12">
      <c r="B44" s="272">
        <f>Indexador!B40</f>
        <v>44409</v>
      </c>
      <c r="C44" s="116">
        <f>-'Conta covid'!$C$17/12</f>
        <v>0</v>
      </c>
      <c r="D44" s="142">
        <f t="shared" si="4"/>
        <v>0</v>
      </c>
      <c r="E44" s="116">
        <f t="shared" si="0"/>
        <v>1409.551943738805</v>
      </c>
      <c r="F44" s="116">
        <f t="shared" si="1"/>
        <v>16342.191850000001</v>
      </c>
      <c r="G44" s="116">
        <f t="shared" si="2"/>
        <v>6700.3825533333338</v>
      </c>
      <c r="H44" s="144">
        <f t="shared" si="3"/>
        <v>24452.126347072139</v>
      </c>
      <c r="I44" s="142"/>
    </row>
    <row r="45" spans="2:12">
      <c r="B45" s="272">
        <f>Indexador!B41</f>
        <v>44440</v>
      </c>
      <c r="C45" s="116">
        <f>-'Conta covid'!$C$17/12</f>
        <v>0</v>
      </c>
      <c r="D45" s="142">
        <f t="shared" si="4"/>
        <v>0</v>
      </c>
      <c r="E45" s="116">
        <f t="shared" si="0"/>
        <v>1409.551943738805</v>
      </c>
      <c r="F45" s="116">
        <f t="shared" si="1"/>
        <v>16342.191850000001</v>
      </c>
      <c r="G45" s="116">
        <f t="shared" si="2"/>
        <v>6700.3825533333338</v>
      </c>
      <c r="H45" s="144">
        <f t="shared" si="3"/>
        <v>24452.126347072139</v>
      </c>
    </row>
    <row r="46" spans="2:12">
      <c r="B46" s="272">
        <f>Indexador!B42</f>
        <v>44470</v>
      </c>
      <c r="C46" s="116">
        <f>-'Conta covid'!$C$17/12</f>
        <v>0</v>
      </c>
      <c r="D46" s="142">
        <f t="shared" si="4"/>
        <v>0</v>
      </c>
      <c r="E46" s="116">
        <f t="shared" si="0"/>
        <v>1409.551943738805</v>
      </c>
      <c r="F46" s="116">
        <f t="shared" si="1"/>
        <v>16342.191850000001</v>
      </c>
      <c r="G46" s="116">
        <f t="shared" si="2"/>
        <v>6700.3825533333338</v>
      </c>
      <c r="H46" s="144">
        <f t="shared" si="3"/>
        <v>24452.126347072139</v>
      </c>
    </row>
    <row r="47" spans="2:12">
      <c r="B47" s="272">
        <f>Indexador!B43</f>
        <v>44501</v>
      </c>
      <c r="C47" s="116">
        <f>-'Conta covid'!$C$17/12</f>
        <v>0</v>
      </c>
      <c r="D47" s="142">
        <f t="shared" si="4"/>
        <v>0</v>
      </c>
      <c r="E47" s="116">
        <f t="shared" si="0"/>
        <v>1409.551943738805</v>
      </c>
      <c r="F47" s="116">
        <f t="shared" si="1"/>
        <v>16342.191850000001</v>
      </c>
      <c r="G47" s="116">
        <f t="shared" si="2"/>
        <v>6700.3825533333338</v>
      </c>
      <c r="H47" s="144">
        <f t="shared" si="3"/>
        <v>24452.126347072139</v>
      </c>
    </row>
    <row r="48" spans="2:12">
      <c r="B48" s="272">
        <f>Indexador!B44</f>
        <v>44531</v>
      </c>
      <c r="C48" s="116">
        <f>-'Conta covid'!$C$17/12</f>
        <v>0</v>
      </c>
      <c r="D48" s="142">
        <f t="shared" si="4"/>
        <v>0</v>
      </c>
      <c r="E48" s="116">
        <f t="shared" si="0"/>
        <v>1409.551943738805</v>
      </c>
      <c r="F48" s="116">
        <f t="shared" si="1"/>
        <v>16342.191850000001</v>
      </c>
      <c r="G48" s="116">
        <f t="shared" si="2"/>
        <v>6700.3825533333338</v>
      </c>
      <c r="H48" s="144">
        <f t="shared" si="3"/>
        <v>24452.126347072139</v>
      </c>
    </row>
    <row r="49" spans="2:10">
      <c r="B49" s="272">
        <f>Indexador!B45</f>
        <v>44562</v>
      </c>
      <c r="C49" s="116">
        <f>-'Conta covid'!$C$17/12</f>
        <v>0</v>
      </c>
      <c r="D49" s="142">
        <f t="shared" si="4"/>
        <v>0</v>
      </c>
      <c r="E49" s="116">
        <f t="shared" si="0"/>
        <v>1409.551943738805</v>
      </c>
      <c r="F49" s="116">
        <f t="shared" si="1"/>
        <v>16342.191850000001</v>
      </c>
      <c r="G49" s="116">
        <f t="shared" si="2"/>
        <v>6700.3825533333338</v>
      </c>
      <c r="H49" s="144">
        <f t="shared" si="3"/>
        <v>24452.126347072139</v>
      </c>
    </row>
    <row r="50" spans="2:10">
      <c r="B50" s="272">
        <f>Indexador!B46</f>
        <v>44593</v>
      </c>
      <c r="C50" s="116">
        <f>-'Conta covid'!$C$17/12</f>
        <v>0</v>
      </c>
      <c r="D50" s="142">
        <f t="shared" si="4"/>
        <v>0</v>
      </c>
      <c r="E50" s="116">
        <f t="shared" si="0"/>
        <v>1409.551943738805</v>
      </c>
      <c r="F50" s="116">
        <f t="shared" si="1"/>
        <v>16342.191850000001</v>
      </c>
      <c r="G50" s="116">
        <f t="shared" si="2"/>
        <v>6700.3825533333338</v>
      </c>
      <c r="H50" s="144">
        <f t="shared" si="3"/>
        <v>24452.126347072139</v>
      </c>
    </row>
    <row r="51" spans="2:10">
      <c r="B51" s="272">
        <f>Indexador!B47</f>
        <v>44621</v>
      </c>
      <c r="C51" s="116">
        <f>-'Conta covid'!$C$17/12</f>
        <v>0</v>
      </c>
      <c r="D51" s="142">
        <f t="shared" si="4"/>
        <v>0</v>
      </c>
      <c r="E51" s="116">
        <f t="shared" si="0"/>
        <v>1409.551943738805</v>
      </c>
      <c r="F51" s="116">
        <f t="shared" si="1"/>
        <v>16342.191850000001</v>
      </c>
      <c r="G51" s="116">
        <f t="shared" si="2"/>
        <v>6700.3825533333338</v>
      </c>
      <c r="H51" s="144">
        <f t="shared" si="3"/>
        <v>24452.126347072139</v>
      </c>
    </row>
    <row r="52" spans="2:10">
      <c r="B52" s="272">
        <f>Indexador!B48</f>
        <v>44652</v>
      </c>
      <c r="C52" s="1293">
        <f>-'Conta covid'!$C$17/12</f>
        <v>0</v>
      </c>
      <c r="D52" s="1446">
        <f t="shared" si="4"/>
        <v>0</v>
      </c>
      <c r="E52" s="1293">
        <f t="shared" si="0"/>
        <v>1409.551943738805</v>
      </c>
      <c r="F52" s="1293">
        <f t="shared" si="1"/>
        <v>16342.191850000001</v>
      </c>
      <c r="G52" s="1293">
        <f t="shared" si="2"/>
        <v>6700.3825533333338</v>
      </c>
      <c r="H52" s="1447">
        <f t="shared" si="3"/>
        <v>24452.126347072139</v>
      </c>
    </row>
    <row r="54" spans="2:10">
      <c r="C54" s="68" t="s">
        <v>1362</v>
      </c>
      <c r="J54" s="198">
        <v>42491</v>
      </c>
    </row>
    <row r="55" spans="2:10">
      <c r="C55" s="1664" t="s">
        <v>2221</v>
      </c>
      <c r="D55" s="1379" t="s">
        <v>46</v>
      </c>
      <c r="E55" s="1379" t="s">
        <v>40</v>
      </c>
      <c r="F55" s="1379" t="s">
        <v>41</v>
      </c>
      <c r="G55" s="1379" t="s">
        <v>47</v>
      </c>
      <c r="H55" s="1379" t="s">
        <v>1361</v>
      </c>
      <c r="J55" s="1379" t="s">
        <v>48</v>
      </c>
    </row>
    <row r="56" spans="2:10">
      <c r="B56" s="272">
        <f t="shared" ref="B56:B67" si="5">B41</f>
        <v>44317</v>
      </c>
      <c r="C56" s="116">
        <f ca="1">IFERROR(Calc_Mercado!R63/(CAPA!$D$53/12)*'Conta covid'!$C$17/12,0)</f>
        <v>0</v>
      </c>
      <c r="D56" s="1448">
        <f ca="1">Calc_Mercado!F63</f>
        <v>0</v>
      </c>
      <c r="E56" s="1284">
        <f ca="1">Calc_Mercado!I63</f>
        <v>1444.0731377213895</v>
      </c>
      <c r="F56" s="1436">
        <f ca="1">Calc_Mercado!H63</f>
        <v>16399.988329856234</v>
      </c>
      <c r="G56" s="1436">
        <f ca="1">Calc_Mercado!G63</f>
        <v>6723.1129941688405</v>
      </c>
      <c r="H56" s="1445">
        <f t="shared" ref="H56:H67" ca="1" si="6">SUM(C56:G56)</f>
        <v>24567.174461746465</v>
      </c>
      <c r="J56" s="1448">
        <f ca="1">IF(B56&lt;$J$54,0,Calc_Mercado!D63)</f>
        <v>0</v>
      </c>
    </row>
    <row r="57" spans="2:10">
      <c r="B57" s="272">
        <f t="shared" si="5"/>
        <v>44348</v>
      </c>
      <c r="C57" s="116">
        <f ca="1">IFERROR(Calc_Mercado!R64/(CAPA!$D$53/12)*'Conta covid'!$C$17/12,0)</f>
        <v>0</v>
      </c>
      <c r="D57" s="143">
        <f ca="1">Calc_Mercado!F64</f>
        <v>0</v>
      </c>
      <c r="E57" s="116">
        <f ca="1">Calc_Mercado!I64</f>
        <v>1387.1437703808199</v>
      </c>
      <c r="F57" s="80">
        <f ca="1">Calc_Mercado!H64</f>
        <v>15850.256822495276</v>
      </c>
      <c r="G57" s="80">
        <f ca="1">Calc_Mercado!G64</f>
        <v>6500.517053502309</v>
      </c>
      <c r="H57" s="144">
        <f t="shared" ca="1" si="6"/>
        <v>23737.917646378406</v>
      </c>
      <c r="J57" s="143">
        <f ca="1">IF(B57&lt;$J$54,0,Calc_Mercado!D64)</f>
        <v>0</v>
      </c>
    </row>
    <row r="58" spans="2:10">
      <c r="B58" s="272">
        <f t="shared" si="5"/>
        <v>44378</v>
      </c>
      <c r="C58" s="116">
        <f ca="1">IFERROR(Calc_Mercado!R65/(CAPA!$D$53/12)*'Conta covid'!$C$17/12,0)</f>
        <v>0</v>
      </c>
      <c r="D58" s="143">
        <f ca="1">Calc_Mercado!F65</f>
        <v>0</v>
      </c>
      <c r="E58" s="116">
        <f ca="1">Calc_Mercado!I65</f>
        <v>1339.6976471664877</v>
      </c>
      <c r="F58" s="80">
        <f ca="1">Calc_Mercado!H65</f>
        <v>15274.39368243946</v>
      </c>
      <c r="G58" s="80">
        <f ca="1">Calc_Mercado!G65</f>
        <v>6265.4761249837375</v>
      </c>
      <c r="H58" s="144">
        <f t="shared" ca="1" si="6"/>
        <v>22879.567454589684</v>
      </c>
      <c r="J58" s="143">
        <f ca="1">IF(B58&lt;$J$54,0,Calc_Mercado!D65)</f>
        <v>0</v>
      </c>
    </row>
    <row r="59" spans="2:10">
      <c r="B59" s="272">
        <f t="shared" si="5"/>
        <v>44409</v>
      </c>
      <c r="C59" s="116">
        <f ca="1">IFERROR(Calc_Mercado!R66/(CAPA!$D$53/12)*'Conta covid'!$C$17/12,0)</f>
        <v>0</v>
      </c>
      <c r="D59" s="143">
        <f ca="1">Calc_Mercado!F66</f>
        <v>0</v>
      </c>
      <c r="E59" s="116">
        <f ca="1">Calc_Mercado!I66</f>
        <v>1335.9367430191901</v>
      </c>
      <c r="F59" s="80">
        <f ca="1">Calc_Mercado!H66</f>
        <v>15206.651898727303</v>
      </c>
      <c r="G59" s="80">
        <f ca="1">Calc_Mercado!G66</f>
        <v>6241.2069713200008</v>
      </c>
      <c r="H59" s="144">
        <f t="shared" ca="1" si="6"/>
        <v>22783.795613066493</v>
      </c>
      <c r="J59" s="143">
        <f ca="1">IF(B59&lt;$J$54,0,Calc_Mercado!D66)</f>
        <v>0</v>
      </c>
    </row>
    <row r="60" spans="2:10">
      <c r="B60" s="272">
        <f t="shared" si="5"/>
        <v>44440</v>
      </c>
      <c r="C60" s="116">
        <f ca="1">IFERROR(Calc_Mercado!R67/(CAPA!$D$53/12)*'Conta covid'!$C$17/12,0)</f>
        <v>0</v>
      </c>
      <c r="D60" s="143">
        <f ca="1">Calc_Mercado!F67</f>
        <v>0</v>
      </c>
      <c r="E60" s="116">
        <f ca="1">Calc_Mercado!I67</f>
        <v>1392.5278767076543</v>
      </c>
      <c r="F60" s="80">
        <f ca="1">Calc_Mercado!H67</f>
        <v>15961.699467001356</v>
      </c>
      <c r="G60" s="80">
        <f ca="1">Calc_Mercado!G67</f>
        <v>6557.0707819001263</v>
      </c>
      <c r="H60" s="144">
        <f t="shared" ca="1" si="6"/>
        <v>23911.298125609137</v>
      </c>
      <c r="J60" s="143">
        <f ca="1">IF(B60&lt;$J$54,0,Calc_Mercado!D67)</f>
        <v>0</v>
      </c>
    </row>
    <row r="61" spans="2:10">
      <c r="B61" s="272">
        <f t="shared" si="5"/>
        <v>44470</v>
      </c>
      <c r="C61" s="116">
        <f ca="1">IFERROR(Calc_Mercado!R68/(CAPA!$D$53/12)*'Conta covid'!$C$17/12,0)</f>
        <v>0</v>
      </c>
      <c r="D61" s="143">
        <f ca="1">Calc_Mercado!F68</f>
        <v>0</v>
      </c>
      <c r="E61" s="116">
        <f ca="1">Calc_Mercado!I68</f>
        <v>1418.1788732293203</v>
      </c>
      <c r="F61" s="80">
        <f ca="1">Calc_Mercado!H68</f>
        <v>16220.980325493225</v>
      </c>
      <c r="G61" s="80">
        <f ca="1">Calc_Mercado!G68</f>
        <v>6659.4438385569056</v>
      </c>
      <c r="H61" s="144">
        <f t="shared" ca="1" si="6"/>
        <v>24298.603037279448</v>
      </c>
      <c r="J61" s="143">
        <f ca="1">IF(B61&lt;$J$54,0,Calc_Mercado!D68)</f>
        <v>0</v>
      </c>
    </row>
    <row r="62" spans="2:10">
      <c r="B62" s="272">
        <f t="shared" si="5"/>
        <v>44501</v>
      </c>
      <c r="C62" s="116">
        <f ca="1">IFERROR(Calc_Mercado!R69/(CAPA!$D$53/12)*'Conta covid'!$C$17/12,0)</f>
        <v>0</v>
      </c>
      <c r="D62" s="143">
        <f ca="1">Calc_Mercado!F69</f>
        <v>0</v>
      </c>
      <c r="E62" s="116">
        <f ca="1">Calc_Mercado!I69</f>
        <v>1655.0821025656901</v>
      </c>
      <c r="F62" s="80">
        <f ca="1">Calc_Mercado!H69</f>
        <v>18688.45282509788</v>
      </c>
      <c r="G62" s="80">
        <f ca="1">Calc_Mercado!G69</f>
        <v>7670.3551563666433</v>
      </c>
      <c r="H62" s="144">
        <f t="shared" ca="1" si="6"/>
        <v>28013.890084030216</v>
      </c>
      <c r="J62" s="143">
        <f ca="1">IF(B62&lt;$J$54,0,Calc_Mercado!D69)</f>
        <v>0</v>
      </c>
    </row>
    <row r="63" spans="2:10">
      <c r="B63" s="272">
        <f t="shared" si="5"/>
        <v>44531</v>
      </c>
      <c r="C63" s="116">
        <f ca="1">IFERROR(Calc_Mercado!R70/(CAPA!$D$53/12)*'Conta covid'!$C$17/12,0)</f>
        <v>0</v>
      </c>
      <c r="D63" s="143">
        <f ca="1">Calc_Mercado!F70</f>
        <v>0</v>
      </c>
      <c r="E63" s="116">
        <f ca="1">Calc_Mercado!I70</f>
        <v>1567.8437551333082</v>
      </c>
      <c r="F63" s="80">
        <f ca="1">Calc_Mercado!H70</f>
        <v>17719.970463718164</v>
      </c>
      <c r="G63" s="80">
        <f ca="1">Calc_Mercado!G70</f>
        <v>7276.9081977891874</v>
      </c>
      <c r="H63" s="144">
        <f t="shared" ca="1" si="6"/>
        <v>26564.72241664066</v>
      </c>
      <c r="J63" s="143">
        <f ca="1">IF(B63&lt;$J$54,0,Calc_Mercado!D70)</f>
        <v>0</v>
      </c>
    </row>
    <row r="64" spans="2:10">
      <c r="B64" s="272">
        <f t="shared" si="5"/>
        <v>44562</v>
      </c>
      <c r="C64" s="116">
        <f ca="1">IFERROR(Calc_Mercado!R71/(CAPA!$D$53/12)*'Conta covid'!$C$17/12,0)</f>
        <v>0</v>
      </c>
      <c r="D64" s="143">
        <f ca="1">Calc_Mercado!F71</f>
        <v>0</v>
      </c>
      <c r="E64" s="116">
        <f ca="1">Calc_Mercado!I71</f>
        <v>1526.4915455425501</v>
      </c>
      <c r="F64" s="80">
        <f ca="1">Calc_Mercado!H71</f>
        <v>17150.673824530644</v>
      </c>
      <c r="G64" s="80">
        <f ca="1">Calc_Mercado!G71</f>
        <v>7033.4134834311581</v>
      </c>
      <c r="H64" s="144">
        <f t="shared" ca="1" si="6"/>
        <v>25710.578853504354</v>
      </c>
      <c r="J64" s="143">
        <f ca="1">IF(B64&lt;$J$54,0,Calc_Mercado!D71)</f>
        <v>0</v>
      </c>
    </row>
    <row r="65" spans="2:10">
      <c r="B65" s="272">
        <f t="shared" si="5"/>
        <v>44593</v>
      </c>
      <c r="C65" s="116">
        <f ca="1">IFERROR(Calc_Mercado!R72/(CAPA!$D$53/12)*'Conta covid'!$C$17/12,0)</f>
        <v>0</v>
      </c>
      <c r="D65" s="143">
        <f ca="1">Calc_Mercado!F72</f>
        <v>0</v>
      </c>
      <c r="E65" s="116">
        <f ca="1">Calc_Mercado!I72</f>
        <v>1503.1285307488997</v>
      </c>
      <c r="F65" s="80">
        <f ca="1">Calc_Mercado!H72</f>
        <v>16342.811573006253</v>
      </c>
      <c r="G65" s="80">
        <f ca="1">Calc_Mercado!G72</f>
        <v>6703.2958588775246</v>
      </c>
      <c r="H65" s="144">
        <f t="shared" ca="1" si="6"/>
        <v>24549.235962632676</v>
      </c>
      <c r="J65" s="143">
        <f ca="1">IF(B65&lt;$J$54,0,Calc_Mercado!D72)</f>
        <v>0</v>
      </c>
    </row>
    <row r="66" spans="2:10">
      <c r="B66" s="272">
        <f t="shared" si="5"/>
        <v>44621</v>
      </c>
      <c r="C66" s="116">
        <f ca="1">IFERROR(Calc_Mercado!R73/(CAPA!$D$53/12)*'Conta covid'!$C$17/12,0)</f>
        <v>0</v>
      </c>
      <c r="D66" s="143">
        <f ca="1">Calc_Mercado!F73</f>
        <v>0</v>
      </c>
      <c r="E66" s="116">
        <f ca="1">Calc_Mercado!I73</f>
        <v>1626.4368151622812</v>
      </c>
      <c r="F66" s="80">
        <f ca="1">Calc_Mercado!H73</f>
        <v>17403.464574430032</v>
      </c>
      <c r="G66" s="80">
        <f ca="1">Calc_Mercado!G73</f>
        <v>7141.9207007192254</v>
      </c>
      <c r="H66" s="144">
        <f t="shared" ca="1" si="6"/>
        <v>26171.822090311536</v>
      </c>
      <c r="J66" s="143">
        <f ca="1">IF(B66&lt;$J$54,0,Calc_Mercado!D73)</f>
        <v>0</v>
      </c>
    </row>
    <row r="67" spans="2:10">
      <c r="B67" s="272">
        <f t="shared" si="5"/>
        <v>44652</v>
      </c>
      <c r="C67" s="1293">
        <f ca="1">IFERROR(Calc_Mercado!R74/(CAPA!$D$53/12)*'Conta covid'!$C$17/12,0)</f>
        <v>0</v>
      </c>
      <c r="D67" s="1449">
        <f ca="1">Calc_Mercado!F74</f>
        <v>0</v>
      </c>
      <c r="E67" s="1293">
        <f ca="1">Calc_Mercado!I74</f>
        <v>1571.4109993064831</v>
      </c>
      <c r="F67" s="1441">
        <f ca="1">Calc_Mercado!H74</f>
        <v>16612.123210099115</v>
      </c>
      <c r="G67" s="1441">
        <f ca="1">Calc_Mercado!G74</f>
        <v>6816.6435781711834</v>
      </c>
      <c r="H67" s="1447">
        <f t="shared" ca="1" si="6"/>
        <v>25000.17778757678</v>
      </c>
      <c r="J67" s="1449">
        <f ca="1">IF(B67&lt;$J$54,0,Calc_Mercado!D74)</f>
        <v>0</v>
      </c>
    </row>
  </sheetData>
  <mergeCells count="5">
    <mergeCell ref="N5:O5"/>
    <mergeCell ref="H5:I5"/>
    <mergeCell ref="H9:I9"/>
    <mergeCell ref="J24:K24"/>
    <mergeCell ref="K5:L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Z78"/>
  <sheetViews>
    <sheetView topLeftCell="A4" workbookViewId="0">
      <selection activeCell="D38" sqref="D38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54.5703125" style="68" customWidth="1"/>
    <col min="4" max="4" width="22.140625" style="108" bestFit="1" customWidth="1"/>
    <col min="5" max="5" width="16.28515625" style="1020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61" t="s">
        <v>801</v>
      </c>
      <c r="D1" s="1450"/>
      <c r="E1" s="1451"/>
      <c r="F1" s="831"/>
      <c r="G1" s="1271" t="s">
        <v>952</v>
      </c>
      <c r="H1" s="1272">
        <f ca="1">LnkTXTIRTEco</f>
        <v>0.21260000000000001</v>
      </c>
    </row>
    <row r="2" spans="3:19" ht="16.5">
      <c r="C2" s="638" t="str">
        <f>CAPA!B2</f>
        <v>Cercos</v>
      </c>
      <c r="D2" s="640"/>
      <c r="E2" s="1014"/>
      <c r="F2" s="641"/>
      <c r="G2" s="642" t="s">
        <v>956</v>
      </c>
      <c r="H2" s="643">
        <f ca="1">LnkTXTIRTTotal</f>
        <v>8.3900000000000002E-2</v>
      </c>
      <c r="I2" s="641"/>
      <c r="J2" s="641"/>
      <c r="K2" s="641"/>
      <c r="L2" s="641"/>
      <c r="M2" s="641"/>
      <c r="N2" s="641"/>
      <c r="O2" s="641"/>
      <c r="P2" s="641"/>
      <c r="Q2" s="641"/>
      <c r="R2" s="641"/>
    </row>
    <row r="3" spans="3:19" ht="16.5">
      <c r="C3" s="644"/>
      <c r="D3" s="640"/>
      <c r="E3" s="1014"/>
      <c r="F3" s="642"/>
      <c r="G3" s="643"/>
      <c r="H3" s="641"/>
      <c r="I3" s="641"/>
      <c r="J3" s="641"/>
      <c r="K3" s="641"/>
      <c r="L3" s="641"/>
      <c r="M3" s="641"/>
      <c r="N3" s="641"/>
      <c r="O3" s="641"/>
      <c r="P3" s="641"/>
      <c r="Q3" s="641"/>
      <c r="R3" s="641"/>
    </row>
    <row r="4" spans="3:19" ht="16.5">
      <c r="C4" s="1452" t="s">
        <v>1363</v>
      </c>
      <c r="D4" s="1453">
        <f ca="1">LnkTXTRA0</f>
        <v>8669186.6415299959</v>
      </c>
      <c r="E4" s="1015"/>
      <c r="F4" s="641"/>
      <c r="G4" s="641"/>
      <c r="H4" s="641"/>
      <c r="I4" s="641"/>
      <c r="J4" s="645"/>
      <c r="K4" s="641"/>
      <c r="L4" s="641"/>
      <c r="M4" s="641"/>
      <c r="N4" s="641"/>
      <c r="O4" s="641"/>
      <c r="P4" s="641"/>
      <c r="Q4" s="641"/>
      <c r="R4" s="641"/>
    </row>
    <row r="5" spans="3:19" ht="16.5">
      <c r="C5" s="1454" t="s">
        <v>1364</v>
      </c>
      <c r="D5" s="1455">
        <f ca="1">IF(CAPA!P1="VERDADEIRO",D7,IFERROR(D7/(1+IF(Calc_Mercado!J15&gt;0,Calc_Mercado!J15,0)),0))</f>
        <v>-1115659.7895383865</v>
      </c>
      <c r="E5" s="1016"/>
      <c r="F5" s="734"/>
      <c r="G5" s="641"/>
      <c r="H5" s="641"/>
      <c r="I5" s="641"/>
      <c r="J5" s="645"/>
      <c r="K5" s="641"/>
      <c r="L5" s="641"/>
      <c r="M5" s="641"/>
      <c r="N5" s="641"/>
      <c r="O5" s="641"/>
      <c r="P5" s="641"/>
      <c r="Q5" s="641"/>
      <c r="R5" s="641"/>
    </row>
    <row r="6" spans="3:19" ht="16.5">
      <c r="C6" s="641"/>
      <c r="D6" s="1456"/>
      <c r="E6" s="1017"/>
      <c r="F6" s="641"/>
      <c r="G6" s="641"/>
      <c r="H6" s="645"/>
      <c r="I6" s="646"/>
      <c r="J6" s="641"/>
      <c r="K6" s="641"/>
      <c r="L6" s="641"/>
      <c r="M6" s="641"/>
      <c r="N6" s="641"/>
      <c r="O6" s="641"/>
      <c r="P6" s="641"/>
      <c r="Q6" s="641"/>
      <c r="R6" s="641"/>
    </row>
    <row r="7" spans="3:19" ht="16.5">
      <c r="C7" s="1457" t="s">
        <v>1365</v>
      </c>
      <c r="D7" s="1458">
        <f ca="1">SUM(D10:D77)-LnkTxTAjusteCUST-D29</f>
        <v>-1115659.7895383865</v>
      </c>
      <c r="E7" s="1459">
        <f ca="1">SUM(E10:E77)-E24-E29</f>
        <v>-0.12869255625363807</v>
      </c>
      <c r="F7" s="647" t="s">
        <v>1366</v>
      </c>
      <c r="G7" s="641"/>
      <c r="H7" s="641"/>
      <c r="I7" s="641"/>
      <c r="J7" s="641"/>
      <c r="K7" s="641"/>
      <c r="L7" s="641"/>
      <c r="M7" s="641"/>
      <c r="N7" s="641"/>
      <c r="O7" s="641"/>
      <c r="P7" s="641"/>
      <c r="Q7" s="641"/>
      <c r="R7" s="641"/>
    </row>
    <row r="8" spans="3:19" ht="16.5">
      <c r="C8" s="1460" t="s">
        <v>1367</v>
      </c>
      <c r="D8" s="1461" t="s">
        <v>37</v>
      </c>
      <c r="E8" s="1462" t="s">
        <v>1368</v>
      </c>
      <c r="F8" s="1460" t="s">
        <v>1369</v>
      </c>
      <c r="G8" s="1460" t="s">
        <v>1370</v>
      </c>
      <c r="H8" s="1460" t="s">
        <v>1371</v>
      </c>
      <c r="I8" s="1460" t="s">
        <v>1372</v>
      </c>
      <c r="J8" s="1460" t="s">
        <v>1373</v>
      </c>
      <c r="K8" s="1460" t="s">
        <v>1374</v>
      </c>
      <c r="L8" s="1460" t="s">
        <v>803</v>
      </c>
      <c r="M8" s="641"/>
      <c r="N8" s="641"/>
      <c r="O8" s="641"/>
      <c r="P8" s="641"/>
      <c r="Q8" s="641"/>
      <c r="R8" s="641"/>
    </row>
    <row r="9" spans="3:19" ht="16.5">
      <c r="C9" s="648" t="s">
        <v>1375</v>
      </c>
      <c r="D9" s="649">
        <f>ABS(Indexador!D49)</f>
        <v>178109.88409763679</v>
      </c>
      <c r="E9" s="1018">
        <f t="shared" ref="E9:E72" ca="1" si="0">IF(ISERROR(D9/$D$4),0,D9/$D$4)</f>
        <v>2.0545166630096083E-2</v>
      </c>
      <c r="F9" s="648"/>
      <c r="G9" s="648"/>
      <c r="H9" s="648"/>
      <c r="I9" s="648"/>
      <c r="J9" s="648"/>
      <c r="K9" s="648"/>
      <c r="L9" s="641"/>
      <c r="M9" s="641"/>
      <c r="N9" s="641"/>
      <c r="O9" s="641"/>
      <c r="P9" s="641"/>
      <c r="Q9" s="641"/>
      <c r="R9" s="641"/>
      <c r="S9" s="398"/>
    </row>
    <row r="10" spans="3:19" ht="16.5">
      <c r="C10" s="641" t="s">
        <v>1376</v>
      </c>
      <c r="D10" s="887">
        <f ca="1">IFERROR(ABS(Indexador!D49)*Resultado!C32/(Resultado!C32+Resultado!C33),0)</f>
        <v>53063.032490582591</v>
      </c>
      <c r="E10" s="1019">
        <f ca="1">IF(ISERROR(D10/$D$4),0,D10/$D$4)</f>
        <v>6.1208778498760838E-3</v>
      </c>
      <c r="F10" s="641">
        <v>22</v>
      </c>
      <c r="G10" s="641">
        <v>60</v>
      </c>
      <c r="H10" s="641">
        <v>999</v>
      </c>
      <c r="I10" s="641">
        <v>1</v>
      </c>
      <c r="J10" s="641">
        <v>7</v>
      </c>
      <c r="K10" s="641">
        <v>9</v>
      </c>
      <c r="L10" s="641"/>
      <c r="M10" s="641"/>
      <c r="N10" s="641"/>
      <c r="O10" s="641"/>
      <c r="P10" s="641"/>
      <c r="Q10" s="796"/>
      <c r="R10" s="641"/>
    </row>
    <row r="11" spans="3:19" ht="16.5">
      <c r="C11" s="641" t="s">
        <v>1377</v>
      </c>
      <c r="D11" s="887">
        <f ca="1">IFERROR(ABS(Indexador!D49)*(Resultado!C33/(Resultado!C32+Resultado!C33)),0)</f>
        <v>125046.8516070542</v>
      </c>
      <c r="E11" s="1019">
        <f ca="1">IF(ISERROR(D11/$D$4),0,D11/$D$4)</f>
        <v>1.4424288780219997E-2</v>
      </c>
      <c r="F11" s="641">
        <v>22</v>
      </c>
      <c r="G11" s="641">
        <v>60</v>
      </c>
      <c r="H11" s="641">
        <v>999</v>
      </c>
      <c r="I11" s="641">
        <v>2</v>
      </c>
      <c r="J11" s="641">
        <v>30</v>
      </c>
      <c r="K11" s="641">
        <v>9</v>
      </c>
      <c r="L11" s="641"/>
      <c r="M11" s="650" t="s">
        <v>22</v>
      </c>
      <c r="N11" s="650" t="s">
        <v>1378</v>
      </c>
      <c r="O11" s="650" t="s">
        <v>37</v>
      </c>
      <c r="P11" s="651" t="s">
        <v>1368</v>
      </c>
      <c r="Q11" s="796"/>
      <c r="R11" s="641"/>
    </row>
    <row r="12" spans="3:19" ht="16.5">
      <c r="C12" s="641" t="str">
        <f>"(Neutralidade) "&amp;Encargos!E5</f>
        <v>(Neutralidade) TFSEE</v>
      </c>
      <c r="D12" s="887">
        <f ca="1">Encargos!K25</f>
        <v>-878.65841579449477</v>
      </c>
      <c r="E12" s="1019">
        <f t="shared" ca="1" si="0"/>
        <v>-1.013541929741431E-4</v>
      </c>
      <c r="F12" s="641">
        <v>20</v>
      </c>
      <c r="G12" s="641">
        <v>60</v>
      </c>
      <c r="H12" s="641">
        <v>20</v>
      </c>
      <c r="I12" s="641">
        <v>3</v>
      </c>
      <c r="J12" s="641">
        <v>14</v>
      </c>
      <c r="K12" s="641">
        <v>9</v>
      </c>
      <c r="L12" s="641"/>
      <c r="M12" s="641" t="str">
        <f t="shared" ref="M12:M25" ca="1" si="1">IF(O12=0,,"CVA")</f>
        <v>CVA</v>
      </c>
      <c r="N12" s="641" t="str">
        <f ca="1">IF(Tabela1[[#This Row],[Percentual]]=0,,Tabela1[[#This Row],[Nome do Financeiro]])</f>
        <v>(Neutralidade) TFSEE</v>
      </c>
      <c r="O12" s="641">
        <f ca="1">IF(ISNUMBER(Tabela1[[#This Row],[Valor]]),Tabela1[[#This Row],[Valor]],)</f>
        <v>-878.65841579449477</v>
      </c>
      <c r="P12" s="641">
        <f ca="1">IF(Tabela1[[#This Row],[Percentual]]=0,,Tabela1[[#This Row],[Percentual]])</f>
        <v>-1.013541929741431E-4</v>
      </c>
      <c r="Q12" s="645"/>
      <c r="R12" s="641"/>
    </row>
    <row r="13" spans="3:19" ht="16.5">
      <c r="C13" s="641" t="str">
        <f>"(Neutralidade) "&amp;Encargos!E6&amp;""</f>
        <v>(Neutralidade) CDE</v>
      </c>
      <c r="D13" s="887">
        <f ca="1">IFERROR(Encargos!K26,0)</f>
        <v>-2691.1137489444864</v>
      </c>
      <c r="E13" s="1019">
        <f ca="1">IF(ISERROR(D13/$D$4),0,D13/$D$4)</f>
        <v>-3.1042286436107239E-4</v>
      </c>
      <c r="F13" s="641">
        <v>20</v>
      </c>
      <c r="G13" s="641">
        <v>60</v>
      </c>
      <c r="H13" s="641">
        <v>20</v>
      </c>
      <c r="I13" s="641">
        <v>3</v>
      </c>
      <c r="J13" s="641">
        <v>15</v>
      </c>
      <c r="K13" s="641">
        <v>9</v>
      </c>
      <c r="L13" s="641"/>
      <c r="M13" s="641" t="str">
        <f t="shared" ca="1" si="1"/>
        <v>CVA</v>
      </c>
      <c r="N13" s="641" t="str">
        <f ca="1">IF(Tabela1[[#This Row],[Percentual]]=0,,Tabela1[[#This Row],[Nome do Financeiro]])</f>
        <v>(Neutralidade) CDE</v>
      </c>
      <c r="O13" s="641">
        <f ca="1">IF(ISNUMBER(Tabela1[[#This Row],[Valor]]),Tabela1[[#This Row],[Valor]],)</f>
        <v>-2691.1137489444864</v>
      </c>
      <c r="P13" s="641">
        <f ca="1">IF(Tabela1[[#This Row],[Percentual]]=0,,Tabela1[[#This Row],[Percentual]])</f>
        <v>-3.1042286436107239E-4</v>
      </c>
      <c r="Q13" s="645"/>
      <c r="R13" s="641"/>
    </row>
    <row r="14" spans="3:19" ht="16.5">
      <c r="C14" s="641" t="str">
        <f>"(Neutralidade) "&amp;Encargos!E7</f>
        <v>(Neutralidade) CFURH</v>
      </c>
      <c r="D14" s="887">
        <f>Encargos!K27</f>
        <v>0</v>
      </c>
      <c r="E14" s="1019">
        <f t="shared" ca="1" si="0"/>
        <v>0</v>
      </c>
      <c r="F14" s="641">
        <v>20</v>
      </c>
      <c r="G14" s="641">
        <v>60</v>
      </c>
      <c r="H14" s="641">
        <v>20</v>
      </c>
      <c r="I14" s="641">
        <v>3</v>
      </c>
      <c r="J14" s="641">
        <v>16</v>
      </c>
      <c r="K14" s="641">
        <v>9</v>
      </c>
      <c r="L14" s="641"/>
      <c r="M14" s="641">
        <f t="shared" si="1"/>
        <v>0</v>
      </c>
      <c r="N14" s="641">
        <f ca="1">IF(Tabela1[[#This Row],[Percentual]]=0,,Tabela1[[#This Row],[Nome do Financeiro]])</f>
        <v>0</v>
      </c>
      <c r="O14" s="641">
        <f>IF(ISNUMBER(Tabela1[[#This Row],[Valor]]),Tabela1[[#This Row],[Valor]],)</f>
        <v>0</v>
      </c>
      <c r="P14" s="641">
        <f ca="1">IF(Tabela1[[#This Row],[Percentual]]=0,,Tabela1[[#This Row],[Percentual]])</f>
        <v>0</v>
      </c>
      <c r="Q14" s="645"/>
      <c r="R14" s="641"/>
    </row>
    <row r="15" spans="3:19" ht="16.5">
      <c r="C15" s="641" t="str">
        <f>"(Neutralidade) "&amp;Encargos!E8</f>
        <v>(Neutralidade) ESS/ERR</v>
      </c>
      <c r="D15" s="887">
        <f ca="1">Encargos!K28</f>
        <v>0</v>
      </c>
      <c r="E15" s="1019">
        <f t="shared" ca="1" si="0"/>
        <v>0</v>
      </c>
      <c r="F15" s="641">
        <v>20</v>
      </c>
      <c r="G15" s="641">
        <v>60</v>
      </c>
      <c r="H15" s="641">
        <v>20</v>
      </c>
      <c r="I15" s="641">
        <v>3</v>
      </c>
      <c r="J15" s="641">
        <v>17</v>
      </c>
      <c r="K15" s="641">
        <v>9</v>
      </c>
      <c r="L15" s="641"/>
      <c r="M15" s="641">
        <f t="shared" ca="1" si="1"/>
        <v>0</v>
      </c>
      <c r="N15" s="641">
        <f ca="1">IF(Tabela1[[#This Row],[Percentual]]=0,,Tabela1[[#This Row],[Nome do Financeiro]])</f>
        <v>0</v>
      </c>
      <c r="O15" s="641">
        <f ca="1">IF(ISNUMBER(Tabela1[[#This Row],[Valor]]),Tabela1[[#This Row],[Valor]],)</f>
        <v>0</v>
      </c>
      <c r="P15" s="641">
        <f ca="1">IF(Tabela1[[#This Row],[Percentual]]=0,,Tabela1[[#This Row],[Percentual]])</f>
        <v>0</v>
      </c>
      <c r="Q15" s="645"/>
      <c r="R15" s="641"/>
    </row>
    <row r="16" spans="3:19" ht="16.5">
      <c r="C16" s="641" t="str">
        <f>"(Neutralidade) "&amp;Encargos!E9</f>
        <v>(Neutralidade) PROINFA</v>
      </c>
      <c r="D16" s="887">
        <f ca="1">Encargos!K29</f>
        <v>-1175.0322466898426</v>
      </c>
      <c r="E16" s="1019">
        <f t="shared" ca="1" si="0"/>
        <v>-1.3554123302188649E-4</v>
      </c>
      <c r="F16" s="641">
        <v>20</v>
      </c>
      <c r="G16" s="641">
        <v>60</v>
      </c>
      <c r="H16" s="641">
        <v>20</v>
      </c>
      <c r="I16" s="641">
        <v>3</v>
      </c>
      <c r="J16" s="641">
        <v>18</v>
      </c>
      <c r="K16" s="641">
        <v>9</v>
      </c>
      <c r="L16" s="641"/>
      <c r="M16" s="641" t="str">
        <f t="shared" ca="1" si="1"/>
        <v>CVA</v>
      </c>
      <c r="N16" s="641" t="str">
        <f ca="1">IF(Tabela1[[#This Row],[Percentual]]=0,,Tabela1[[#This Row],[Nome do Financeiro]])</f>
        <v>(Neutralidade) PROINFA</v>
      </c>
      <c r="O16" s="641">
        <f ca="1">IF(ISNUMBER(Tabela1[[#This Row],[Valor]]),Tabela1[[#This Row],[Valor]],)</f>
        <v>-1175.0322466898426</v>
      </c>
      <c r="P16" s="641">
        <f ca="1">IF(Tabela1[[#This Row],[Percentual]]=0,,Tabela1[[#This Row],[Percentual]])</f>
        <v>-1.3554123302188649E-4</v>
      </c>
      <c r="Q16" s="645"/>
      <c r="R16" s="641"/>
    </row>
    <row r="17" spans="3:26" ht="16.5">
      <c r="C17" s="641" t="str">
        <f>"(Neutralidade) "&amp;Encargos!B11</f>
        <v>(Neutralidade) P&amp;D e PEE</v>
      </c>
      <c r="D17" s="887"/>
      <c r="E17" s="1019">
        <f t="shared" ca="1" si="0"/>
        <v>0</v>
      </c>
      <c r="F17" s="641">
        <v>20</v>
      </c>
      <c r="G17" s="641">
        <v>60</v>
      </c>
      <c r="H17" s="641">
        <v>20</v>
      </c>
      <c r="I17" s="641">
        <v>3</v>
      </c>
      <c r="J17" s="641">
        <v>19</v>
      </c>
      <c r="K17" s="641">
        <v>9</v>
      </c>
      <c r="L17" s="641"/>
      <c r="M17" s="641">
        <f t="shared" si="1"/>
        <v>0</v>
      </c>
      <c r="N17" s="641">
        <f ca="1">IF(Tabela1[[#This Row],[Percentual]]=0,,Tabela1[[#This Row],[Nome do Financeiro]])</f>
        <v>0</v>
      </c>
      <c r="O17" s="641">
        <f>IF(ISNUMBER(Tabela1[[#This Row],[Valor]]),Tabela1[[#This Row],[Valor]],)</f>
        <v>0</v>
      </c>
      <c r="P17" s="641">
        <f ca="1">IF(Tabela1[[#This Row],[Percentual]]=0,,Tabela1[[#This Row],[Percentual]])</f>
        <v>0</v>
      </c>
      <c r="Q17" s="645"/>
      <c r="R17" s="641"/>
    </row>
    <row r="18" spans="3:26" ht="16.5">
      <c r="C18" s="641" t="str">
        <f>"(Neutralidade) "&amp; "conta covid-19"</f>
        <v>(Neutralidade) conta covid-19</v>
      </c>
      <c r="D18" s="887">
        <f ca="1">Encargos!K30</f>
        <v>0</v>
      </c>
      <c r="E18" s="1019">
        <f t="shared" ca="1" si="0"/>
        <v>0</v>
      </c>
      <c r="F18" s="641">
        <v>20</v>
      </c>
      <c r="G18" s="641">
        <v>60</v>
      </c>
      <c r="H18" s="641">
        <v>999</v>
      </c>
      <c r="I18" s="641">
        <v>4</v>
      </c>
      <c r="J18" s="641">
        <v>999</v>
      </c>
      <c r="K18" s="641">
        <v>9</v>
      </c>
      <c r="L18" s="641"/>
      <c r="M18" s="641">
        <f t="shared" ca="1" si="1"/>
        <v>0</v>
      </c>
      <c r="N18" s="641">
        <f ca="1">IF(Tabela1[[#This Row],[Percentual]]=0,,Tabela1[[#This Row],[Nome do Financeiro]])</f>
        <v>0</v>
      </c>
      <c r="O18" s="641">
        <f ca="1">IF(ISNUMBER(Tabela1[[#This Row],[Valor]]),Tabela1[[#This Row],[Valor]],)</f>
        <v>0</v>
      </c>
      <c r="P18" s="641">
        <f ca="1">IF(Tabela1[[#This Row],[Percentual]]=0,,Tabela1[[#This Row],[Percentual]])</f>
        <v>0</v>
      </c>
      <c r="Q18" s="645"/>
      <c r="R18" s="641"/>
      <c r="S18" s="398"/>
    </row>
    <row r="19" spans="3:26" ht="16.5">
      <c r="C19" s="641" t="s">
        <v>1379</v>
      </c>
      <c r="D19" s="887">
        <f>IFERROR(LnkTxTAjusteCUST*Resultado!D25/(Resultado!D25+Resultado!D26),0)</f>
        <v>0</v>
      </c>
      <c r="E19" s="1019">
        <f ca="1">IF(ISERROR(D19/$D$4),0,D19/$D$4)</f>
        <v>0</v>
      </c>
      <c r="F19" s="641">
        <v>22</v>
      </c>
      <c r="G19" s="641">
        <v>60</v>
      </c>
      <c r="H19" s="641">
        <v>999</v>
      </c>
      <c r="I19" s="641">
        <v>1</v>
      </c>
      <c r="J19" s="641">
        <v>1</v>
      </c>
      <c r="K19" s="641">
        <v>9</v>
      </c>
      <c r="L19" s="641"/>
      <c r="M19" s="641">
        <f t="shared" si="1"/>
        <v>0</v>
      </c>
      <c r="N19" s="641">
        <f ca="1">IF(Tabela1[[#This Row],[Percentual]]=0,,Tabela1[[#This Row],[Nome do Financeiro]])</f>
        <v>0</v>
      </c>
      <c r="O19" s="641">
        <f>IF(ISNUMBER(Tabela1[[#This Row],[Valor]]),Tabela1[[#This Row],[Valor]],)</f>
        <v>0</v>
      </c>
      <c r="P19" s="641">
        <f ca="1">IF(Tabela1[[#This Row],[Percentual]]=0,,Tabela1[[#This Row],[Percentual]])</f>
        <v>0</v>
      </c>
      <c r="Q19" s="645"/>
      <c r="R19" s="641"/>
    </row>
    <row r="20" spans="3:26" ht="16.5">
      <c r="C20" s="641" t="s">
        <v>1380</v>
      </c>
      <c r="D20" s="887">
        <f>IFERROR(LnkTxTAjusteCUST*Resultado!D26/(Resultado!D25+Resultado!D26),0)</f>
        <v>0</v>
      </c>
      <c r="E20" s="1019">
        <f ca="1">IF(ISERROR(D20/$D$4),0,D20/$D$4)</f>
        <v>0</v>
      </c>
      <c r="F20" s="641">
        <v>22</v>
      </c>
      <c r="G20" s="641">
        <v>60</v>
      </c>
      <c r="H20" s="641">
        <v>999</v>
      </c>
      <c r="I20" s="641">
        <v>1</v>
      </c>
      <c r="J20" s="641">
        <v>2</v>
      </c>
      <c r="K20" s="641">
        <v>9</v>
      </c>
      <c r="L20" s="641"/>
      <c r="M20" s="641">
        <f t="shared" si="1"/>
        <v>0</v>
      </c>
      <c r="N20" s="641">
        <f ca="1">IF(Tabela1[[#This Row],[Percentual]]=0,,Tabela1[[#This Row],[Nome do Financeiro]])</f>
        <v>0</v>
      </c>
      <c r="O20" s="641">
        <f>IF(ISNUMBER(Tabela1[[#This Row],[Valor]]),Tabela1[[#This Row],[Valor]],)</f>
        <v>0</v>
      </c>
      <c r="P20" s="641">
        <f ca="1">IF(Tabela1[[#This Row],[Percentual]]=0,,Tabela1[[#This Row],[Percentual]])</f>
        <v>0</v>
      </c>
      <c r="Q20" s="645"/>
      <c r="R20" s="641"/>
      <c r="S20" s="143"/>
    </row>
    <row r="21" spans="3:26" ht="16.5">
      <c r="C21" s="641" t="s">
        <v>1381</v>
      </c>
      <c r="D21" s="887">
        <v>0</v>
      </c>
      <c r="E21" s="1019">
        <f t="shared" ca="1" si="0"/>
        <v>0</v>
      </c>
      <c r="F21" s="641">
        <v>22</v>
      </c>
      <c r="G21" s="641">
        <v>60</v>
      </c>
      <c r="H21" s="641">
        <v>167</v>
      </c>
      <c r="I21" s="641">
        <v>4</v>
      </c>
      <c r="J21" s="641">
        <v>999</v>
      </c>
      <c r="K21" s="641">
        <v>9</v>
      </c>
      <c r="L21" s="641"/>
      <c r="M21" s="641">
        <f t="shared" si="1"/>
        <v>0</v>
      </c>
      <c r="N21" s="641">
        <f ca="1">IF(Tabela1[[#This Row],[Percentual]]=0,,Tabela1[[#This Row],[Nome do Financeiro]])</f>
        <v>0</v>
      </c>
      <c r="O21" s="641">
        <f>IF(ISNUMBER(Tabela1[[#This Row],[Valor]]),Tabela1[[#This Row],[Valor]],)</f>
        <v>0</v>
      </c>
      <c r="P21" s="641">
        <f ca="1">IF(Tabela1[[#This Row],[Percentual]]=0,,Tabela1[[#This Row],[Percentual]])</f>
        <v>0</v>
      </c>
      <c r="Q21" s="645"/>
      <c r="R21" s="641"/>
    </row>
    <row r="22" spans="3:26" ht="16.5">
      <c r="C22" s="641"/>
      <c r="D22" s="887"/>
      <c r="E22" s="1019">
        <f t="shared" ca="1" si="0"/>
        <v>0</v>
      </c>
      <c r="F22" s="641">
        <v>22</v>
      </c>
      <c r="G22" s="641">
        <v>60</v>
      </c>
      <c r="H22" s="641">
        <v>194</v>
      </c>
      <c r="I22" s="641">
        <v>99</v>
      </c>
      <c r="J22" s="641">
        <v>999</v>
      </c>
      <c r="K22" s="641">
        <v>9</v>
      </c>
      <c r="L22" s="641"/>
      <c r="M22" s="641">
        <f t="shared" si="1"/>
        <v>0</v>
      </c>
      <c r="N22" s="641">
        <f ca="1">IF(Tabela1[[#This Row],[Percentual]]=0,,Tabela1[[#This Row],[Nome do Financeiro]])</f>
        <v>0</v>
      </c>
      <c r="O22" s="641">
        <f>IF(ISNUMBER(Tabela1[[#This Row],[Valor]]),Tabela1[[#This Row],[Valor]],)</f>
        <v>0</v>
      </c>
      <c r="P22" s="641">
        <f ca="1">IF(Tabela1[[#This Row],[Percentual]]=0,,Tabela1[[#This Row],[Percentual]])</f>
        <v>0</v>
      </c>
      <c r="Q22" s="645"/>
      <c r="R22" s="1652"/>
      <c r="S22" s="292"/>
      <c r="T22" s="1653"/>
      <c r="U22" s="1653"/>
      <c r="V22" s="1653"/>
      <c r="W22" s="1653"/>
      <c r="X22" s="1653"/>
      <c r="Y22" s="1653"/>
      <c r="Z22" s="1653"/>
    </row>
    <row r="23" spans="3:26" ht="16.5">
      <c r="C23" s="1662" t="s">
        <v>2233</v>
      </c>
      <c r="D23" s="1661"/>
      <c r="E23" s="1019">
        <f ca="1">IF(ISERROR(D23/$D$4),0,D23/$D$4)</f>
        <v>0</v>
      </c>
      <c r="F23" s="641">
        <v>22</v>
      </c>
      <c r="G23" s="641">
        <v>60</v>
      </c>
      <c r="H23" s="641">
        <v>999</v>
      </c>
      <c r="I23" s="641">
        <v>2</v>
      </c>
      <c r="J23" s="641">
        <v>30</v>
      </c>
      <c r="K23" s="641">
        <v>9</v>
      </c>
      <c r="L23" s="652"/>
      <c r="M23" s="641">
        <f t="shared" si="1"/>
        <v>0</v>
      </c>
      <c r="N23" s="641" t="e">
        <v>#REF!</v>
      </c>
      <c r="O23" s="641">
        <v>0</v>
      </c>
      <c r="P23" s="641" t="e">
        <v>#REF!</v>
      </c>
      <c r="Q23" s="645"/>
      <c r="R23" s="1652"/>
      <c r="S23" s="1653"/>
      <c r="T23" s="1653"/>
      <c r="U23" s="1653"/>
      <c r="V23" s="1653"/>
      <c r="W23" s="1653"/>
      <c r="X23" s="1653"/>
      <c r="Y23" s="1653"/>
      <c r="Z23" s="1653"/>
    </row>
    <row r="24" spans="3:26" ht="16.5">
      <c r="C24" s="653" t="s">
        <v>1382</v>
      </c>
      <c r="D24" s="888">
        <f>Indexador!J49+Indexador!P49</f>
        <v>0</v>
      </c>
      <c r="E24" s="1018">
        <f t="shared" ca="1" si="0"/>
        <v>0</v>
      </c>
      <c r="F24" s="648"/>
      <c r="G24" s="648"/>
      <c r="H24" s="648"/>
      <c r="I24" s="648"/>
      <c r="J24" s="648"/>
      <c r="K24" s="648"/>
      <c r="L24" s="641"/>
      <c r="M24" s="641">
        <f t="shared" si="1"/>
        <v>0</v>
      </c>
      <c r="N24" s="641">
        <f ca="1">IF(Tabela1[[#This Row],[Percentual]]=0,,Tabela1[[#This Row],[Nome do Financeiro]])</f>
        <v>0</v>
      </c>
      <c r="O24" s="641">
        <f>IF(ISNUMBER(Tabela1[[#This Row],[Valor]]),Tabela1[[#This Row],[Valor]],)</f>
        <v>0</v>
      </c>
      <c r="P24" s="641">
        <f ca="1">IF(Tabela1[[#This Row],[Percentual]]=0,,Tabela1[[#This Row],[Percentual]])</f>
        <v>0</v>
      </c>
      <c r="Q24" s="645"/>
      <c r="R24" s="1652"/>
      <c r="S24" s="1654"/>
      <c r="T24" s="1653"/>
      <c r="U24" s="1653"/>
      <c r="V24" s="117"/>
      <c r="W24" s="1653"/>
      <c r="X24" s="1653"/>
      <c r="Y24" s="1653"/>
      <c r="Z24" s="1653"/>
    </row>
    <row r="25" spans="3:26" ht="16.5">
      <c r="C25" s="641" t="s">
        <v>1383</v>
      </c>
      <c r="D25" s="887">
        <f>(Indexador!H49)</f>
        <v>0</v>
      </c>
      <c r="E25" s="1019">
        <f t="shared" ca="1" si="0"/>
        <v>0</v>
      </c>
      <c r="F25" s="641">
        <v>22</v>
      </c>
      <c r="G25" s="641">
        <v>60</v>
      </c>
      <c r="H25" s="641">
        <v>178</v>
      </c>
      <c r="I25" s="641">
        <v>1</v>
      </c>
      <c r="J25" s="641">
        <v>7</v>
      </c>
      <c r="K25" s="641">
        <v>9</v>
      </c>
      <c r="L25" s="641"/>
      <c r="M25" s="641">
        <f t="shared" si="1"/>
        <v>0</v>
      </c>
      <c r="N25" s="641">
        <f ca="1">IF(Tabela1[[#This Row],[Percentual]]=0,,Tabela1[[#This Row],[Nome do Financeiro]])</f>
        <v>0</v>
      </c>
      <c r="O25" s="641">
        <f>IF(ISNUMBER(Tabela1[[#This Row],[Valor]]),Tabela1[[#This Row],[Valor]],)</f>
        <v>0</v>
      </c>
      <c r="P25" s="641">
        <f ca="1">IF(Tabela1[[#This Row],[Percentual]]=0,,Tabela1[[#This Row],[Percentual]])</f>
        <v>0</v>
      </c>
      <c r="Q25" s="641"/>
      <c r="R25" s="1652"/>
      <c r="S25" s="1653"/>
      <c r="T25" s="1653"/>
      <c r="U25" s="1653"/>
      <c r="V25" s="1653"/>
      <c r="W25" s="1653"/>
      <c r="X25" s="1653"/>
      <c r="Y25" s="1653"/>
      <c r="Z25" s="1653"/>
    </row>
    <row r="26" spans="3:26" ht="16.5">
      <c r="C26" s="641" t="s">
        <v>1384</v>
      </c>
      <c r="D26" s="887">
        <f ca="1">-LnkTXTISubvencaoPB</f>
        <v>-1029915.1601314496</v>
      </c>
      <c r="E26" s="1019">
        <f ca="1">IF(ISERROR(D26/$D$4),0,D26/$D$4)</f>
        <v>-0.11880182106099901</v>
      </c>
      <c r="F26" s="641">
        <v>22</v>
      </c>
      <c r="G26" s="641">
        <v>60</v>
      </c>
      <c r="H26" s="641">
        <v>999</v>
      </c>
      <c r="I26" s="641">
        <v>4</v>
      </c>
      <c r="J26" s="641">
        <v>999</v>
      </c>
      <c r="K26" s="641">
        <v>9</v>
      </c>
      <c r="L26" s="641"/>
      <c r="M26" s="641"/>
      <c r="N26" s="641"/>
      <c r="O26" s="641"/>
      <c r="P26" s="641"/>
      <c r="Q26" s="641"/>
      <c r="R26" s="1652"/>
      <c r="S26" s="1653"/>
      <c r="T26" s="1653"/>
      <c r="U26" s="1653"/>
      <c r="V26" s="1653"/>
      <c r="W26" s="1653"/>
      <c r="X26" s="1653"/>
      <c r="Y26" s="1653"/>
      <c r="Z26" s="1653"/>
    </row>
    <row r="27" spans="3:26" ht="16.5">
      <c r="C27" s="480" t="s">
        <v>1385</v>
      </c>
      <c r="D27" s="887">
        <f>IFERROR(-ABS(Indexador!L49),0)</f>
        <v>0</v>
      </c>
      <c r="E27" s="1019">
        <f t="shared" ca="1" si="0"/>
        <v>0</v>
      </c>
      <c r="F27" s="641">
        <v>22</v>
      </c>
      <c r="G27" s="641">
        <v>60</v>
      </c>
      <c r="H27" s="641">
        <v>999</v>
      </c>
      <c r="I27" s="641">
        <v>2</v>
      </c>
      <c r="J27" s="641">
        <v>30</v>
      </c>
      <c r="K27" s="641">
        <v>9</v>
      </c>
      <c r="L27" s="641"/>
      <c r="M27" s="641"/>
      <c r="N27" s="641"/>
      <c r="O27" s="641"/>
      <c r="P27" s="641"/>
      <c r="Q27" s="641"/>
      <c r="R27" s="1652"/>
      <c r="S27" s="1653"/>
      <c r="T27" s="1653"/>
      <c r="U27" s="1653"/>
      <c r="V27" s="1653"/>
      <c r="W27" s="1653"/>
      <c r="X27" s="1653"/>
      <c r="Y27" s="1653"/>
      <c r="Z27" s="1653"/>
    </row>
    <row r="28" spans="3:26" ht="16.5">
      <c r="C28" s="480" t="s">
        <v>1386</v>
      </c>
      <c r="D28" s="889"/>
      <c r="E28" s="1019">
        <f t="shared" ca="1" si="0"/>
        <v>0</v>
      </c>
      <c r="F28" s="641">
        <v>22</v>
      </c>
      <c r="G28" s="641">
        <v>60</v>
      </c>
      <c r="H28" s="641">
        <v>120</v>
      </c>
      <c r="I28" s="641">
        <v>4</v>
      </c>
      <c r="J28" s="641">
        <v>999</v>
      </c>
      <c r="K28" s="641">
        <v>9</v>
      </c>
      <c r="L28" s="641"/>
      <c r="M28" s="641"/>
      <c r="N28" s="641"/>
      <c r="O28" s="641"/>
      <c r="P28" s="641"/>
      <c r="Q28" s="641"/>
      <c r="R28" s="1652"/>
      <c r="S28" s="1653"/>
      <c r="T28" s="1653"/>
      <c r="U28" s="1653"/>
      <c r="V28" s="1653"/>
      <c r="W28" s="1653"/>
      <c r="X28" s="1653"/>
      <c r="Y28" s="1653"/>
      <c r="Z28" s="1653"/>
    </row>
    <row r="29" spans="3:26" ht="16.5">
      <c r="C29" s="648" t="s">
        <v>1387</v>
      </c>
      <c r="D29" s="888">
        <f>ICMS!E12</f>
        <v>0</v>
      </c>
      <c r="E29" s="1018">
        <f ca="1">IFERROR(Tabela1[[#This Row],[Valor]]/D4,0)</f>
        <v>0</v>
      </c>
      <c r="F29" s="648"/>
      <c r="G29" s="648"/>
      <c r="H29" s="648"/>
      <c r="I29" s="648"/>
      <c r="J29" s="648"/>
      <c r="K29" s="648"/>
      <c r="L29" s="641"/>
      <c r="M29" s="641"/>
      <c r="N29" s="641"/>
      <c r="O29" s="641"/>
      <c r="P29" s="641"/>
      <c r="Q29" s="641"/>
      <c r="R29" s="1652"/>
      <c r="S29" s="1653"/>
      <c r="T29" s="1655"/>
      <c r="U29" s="1655"/>
      <c r="V29" s="1655"/>
      <c r="W29" s="1655"/>
      <c r="X29" s="1653"/>
      <c r="Y29" s="1653"/>
      <c r="Z29" s="1653"/>
    </row>
    <row r="30" spans="3:26" ht="16.5">
      <c r="C30" s="641" t="s">
        <v>1388</v>
      </c>
      <c r="D30" s="887">
        <f ca="1">ICMS!E13</f>
        <v>0</v>
      </c>
      <c r="E30" s="1019">
        <f ca="1">IF(ISERROR(D30/$D$4),0,D30/$D$4)</f>
        <v>0</v>
      </c>
      <c r="F30" s="641">
        <v>22</v>
      </c>
      <c r="G30" s="641">
        <v>60</v>
      </c>
      <c r="H30" s="641">
        <v>999</v>
      </c>
      <c r="I30" s="641">
        <v>1</v>
      </c>
      <c r="J30" s="641">
        <v>7</v>
      </c>
      <c r="K30" s="641">
        <v>9</v>
      </c>
      <c r="L30" s="641"/>
      <c r="M30" s="641"/>
      <c r="N30" s="641"/>
      <c r="O30" s="641"/>
      <c r="P30" s="641"/>
      <c r="Q30" s="641"/>
      <c r="R30" s="1656"/>
      <c r="S30" s="1653"/>
      <c r="T30" s="1655"/>
      <c r="U30" s="1657"/>
      <c r="V30" s="1655"/>
      <c r="W30" s="1655"/>
      <c r="X30" s="1653"/>
      <c r="Y30" s="1653"/>
      <c r="Z30" s="1653"/>
    </row>
    <row r="31" spans="3:26" ht="16.5">
      <c r="C31" s="641" t="s">
        <v>1389</v>
      </c>
      <c r="D31" s="887">
        <f ca="1">ICMS!E14</f>
        <v>0</v>
      </c>
      <c r="E31" s="1019">
        <f ca="1">IF(ISERROR(D31/$D$4),0,D31/$D$4)</f>
        <v>0</v>
      </c>
      <c r="F31" s="641">
        <v>22</v>
      </c>
      <c r="G31" s="641">
        <v>60</v>
      </c>
      <c r="H31" s="641">
        <v>999</v>
      </c>
      <c r="I31" s="641">
        <v>2</v>
      </c>
      <c r="J31" s="641">
        <v>30</v>
      </c>
      <c r="K31" s="641">
        <v>9</v>
      </c>
      <c r="L31" s="641"/>
      <c r="M31" s="641"/>
      <c r="N31" s="641"/>
      <c r="O31" s="641"/>
      <c r="P31" s="641"/>
      <c r="Q31" s="641"/>
      <c r="R31" s="1652"/>
      <c r="S31" s="1653"/>
      <c r="T31" s="1655"/>
      <c r="U31" s="1657"/>
      <c r="V31" s="1655"/>
      <c r="W31" s="1655"/>
      <c r="X31" s="1653"/>
      <c r="Y31" s="1653"/>
      <c r="Z31" s="1653"/>
    </row>
    <row r="32" spans="3:26" ht="16.5">
      <c r="C32" s="641" t="s">
        <v>1390</v>
      </c>
      <c r="D32" s="905"/>
      <c r="E32" s="1019">
        <f t="shared" ref="E32:E44" ca="1" si="2">IF(ISERROR(D32/$D$4),0,D32/$D$4)</f>
        <v>0</v>
      </c>
      <c r="F32" s="641">
        <v>22</v>
      </c>
      <c r="G32" s="641">
        <v>60</v>
      </c>
      <c r="H32" s="641">
        <v>231</v>
      </c>
      <c r="I32" s="641">
        <v>3</v>
      </c>
      <c r="J32" s="641">
        <v>19</v>
      </c>
      <c r="K32" s="641">
        <v>9</v>
      </c>
      <c r="L32" s="641"/>
      <c r="M32" s="641"/>
      <c r="N32" s="641"/>
      <c r="O32" s="641"/>
      <c r="P32" s="641"/>
      <c r="Q32" s="797"/>
      <c r="R32" s="1652"/>
      <c r="S32" s="1653"/>
      <c r="T32" s="1653"/>
      <c r="U32" s="1653"/>
      <c r="V32" s="1653"/>
      <c r="W32" s="1653"/>
      <c r="X32" s="1653"/>
      <c r="Y32" s="1653"/>
      <c r="Z32" s="1653"/>
    </row>
    <row r="33" spans="3:26" ht="16.5">
      <c r="C33" s="641" t="s">
        <v>1391</v>
      </c>
      <c r="D33" s="910">
        <f>-'Conta covid'!J17</f>
        <v>0</v>
      </c>
      <c r="E33" s="1019">
        <f t="shared" ca="1" si="2"/>
        <v>0</v>
      </c>
      <c r="F33" s="641">
        <v>22</v>
      </c>
      <c r="G33" s="641">
        <v>60</v>
      </c>
      <c r="H33" s="641">
        <v>235</v>
      </c>
      <c r="I33" s="641">
        <v>4</v>
      </c>
      <c r="J33" s="641">
        <v>999</v>
      </c>
      <c r="K33" s="641">
        <v>9</v>
      </c>
      <c r="L33" s="641"/>
      <c r="M33" s="641"/>
      <c r="N33" s="641"/>
      <c r="O33" s="641"/>
      <c r="P33" s="641"/>
      <c r="Q33" s="645"/>
      <c r="R33" s="1652"/>
      <c r="S33" s="1653"/>
      <c r="T33" s="1653"/>
      <c r="U33" s="1653"/>
      <c r="V33" s="1653"/>
      <c r="W33" s="1653"/>
      <c r="X33" s="1653"/>
      <c r="Y33" s="1653"/>
      <c r="Z33" s="1653"/>
    </row>
    <row r="34" spans="3:26" ht="16.5">
      <c r="C34" s="641" t="s">
        <v>1392</v>
      </c>
      <c r="D34" s="797">
        <f>Energia!K52</f>
        <v>0</v>
      </c>
      <c r="E34" s="1019">
        <f t="shared" ca="1" si="2"/>
        <v>0</v>
      </c>
      <c r="F34" s="641">
        <v>22</v>
      </c>
      <c r="G34" s="641">
        <v>60</v>
      </c>
      <c r="H34" s="641">
        <v>220</v>
      </c>
      <c r="I34" s="641">
        <v>2</v>
      </c>
      <c r="J34" s="641">
        <v>30</v>
      </c>
      <c r="K34" s="641">
        <v>9</v>
      </c>
      <c r="L34" s="641"/>
      <c r="M34" s="641"/>
      <c r="N34" s="641"/>
      <c r="O34" s="641"/>
      <c r="P34" s="641"/>
      <c r="Q34" s="641"/>
      <c r="R34" s="1652"/>
      <c r="S34" s="1653"/>
      <c r="T34" s="292"/>
      <c r="U34" s="1654"/>
      <c r="V34" s="1654"/>
      <c r="W34" s="1653"/>
      <c r="X34" s="1653"/>
      <c r="Y34" s="1653"/>
      <c r="Z34" s="1653"/>
    </row>
    <row r="35" spans="3:26" ht="16.5">
      <c r="C35" s="654" t="s">
        <v>1393</v>
      </c>
      <c r="D35" s="655"/>
      <c r="E35" s="1019">
        <f t="shared" ca="1" si="2"/>
        <v>0</v>
      </c>
      <c r="F35" s="654">
        <v>22</v>
      </c>
      <c r="G35" s="654">
        <v>60</v>
      </c>
      <c r="H35" s="654">
        <v>999</v>
      </c>
      <c r="I35" s="654">
        <v>2</v>
      </c>
      <c r="J35" s="654">
        <v>30</v>
      </c>
      <c r="K35" s="654">
        <v>9</v>
      </c>
      <c r="L35" s="641"/>
      <c r="M35" s="641"/>
      <c r="N35" s="641"/>
      <c r="O35" s="641"/>
      <c r="P35" s="641"/>
      <c r="Q35" s="641"/>
      <c r="R35" s="887"/>
      <c r="S35" s="1653"/>
      <c r="T35" s="1653"/>
      <c r="U35" s="1653"/>
      <c r="V35" s="1653"/>
      <c r="W35" s="1653"/>
      <c r="X35" s="1653"/>
      <c r="Y35" s="1653"/>
      <c r="Z35" s="1653"/>
    </row>
    <row r="36" spans="3:26" ht="16.5">
      <c r="C36" s="654" t="s">
        <v>1394</v>
      </c>
      <c r="D36" s="655"/>
      <c r="E36" s="1019">
        <f t="shared" ca="1" si="2"/>
        <v>0</v>
      </c>
      <c r="F36" s="654">
        <v>22</v>
      </c>
      <c r="G36" s="654">
        <v>60</v>
      </c>
      <c r="H36" s="654">
        <v>179</v>
      </c>
      <c r="I36" s="654">
        <v>99</v>
      </c>
      <c r="J36" s="654">
        <v>999</v>
      </c>
      <c r="K36" s="654">
        <v>3</v>
      </c>
      <c r="L36" s="641"/>
      <c r="M36" s="641"/>
      <c r="N36" s="641"/>
      <c r="O36" s="641"/>
      <c r="P36" s="641"/>
      <c r="Q36" s="641"/>
      <c r="R36" s="887"/>
      <c r="S36" s="1653"/>
      <c r="T36" s="292"/>
      <c r="U36" s="1654"/>
      <c r="V36" s="1653"/>
      <c r="W36" s="1653"/>
      <c r="X36" s="1653"/>
      <c r="Y36" s="1653"/>
      <c r="Z36" s="1653"/>
    </row>
    <row r="37" spans="3:26" ht="16.5">
      <c r="C37" s="654" t="s">
        <v>1395</v>
      </c>
      <c r="D37" s="655"/>
      <c r="E37" s="1019">
        <f t="shared" ca="1" si="2"/>
        <v>0</v>
      </c>
      <c r="F37" s="641">
        <v>22</v>
      </c>
      <c r="G37" s="641">
        <v>60</v>
      </c>
      <c r="H37" s="641">
        <v>999</v>
      </c>
      <c r="I37" s="641">
        <v>1</v>
      </c>
      <c r="J37" s="641">
        <v>7</v>
      </c>
      <c r="K37" s="641">
        <v>9</v>
      </c>
      <c r="L37" s="641"/>
      <c r="M37" s="641"/>
      <c r="N37" s="641"/>
      <c r="O37" s="641"/>
      <c r="P37" s="641"/>
      <c r="Q37" s="641"/>
      <c r="R37" s="1652"/>
      <c r="S37" s="1653"/>
      <c r="T37" s="1653"/>
      <c r="U37" s="1654"/>
      <c r="V37" s="1653"/>
      <c r="W37" s="1653"/>
      <c r="X37" s="1653"/>
      <c r="Y37" s="1653"/>
      <c r="Z37" s="1653"/>
    </row>
    <row r="38" spans="3:26" ht="16.5">
      <c r="C38" s="654" t="s">
        <v>2278</v>
      </c>
      <c r="D38" s="655">
        <v>-280000</v>
      </c>
      <c r="E38" s="1019">
        <f t="shared" ca="1" si="2"/>
        <v>-3.2298301049218582E-2</v>
      </c>
      <c r="F38" s="654">
        <v>22</v>
      </c>
      <c r="G38" s="654">
        <v>60</v>
      </c>
      <c r="H38" s="654">
        <v>999</v>
      </c>
      <c r="I38" s="654">
        <v>2</v>
      </c>
      <c r="J38" s="654">
        <v>30</v>
      </c>
      <c r="K38" s="654">
        <v>9</v>
      </c>
      <c r="L38" s="641"/>
      <c r="M38" s="641"/>
      <c r="N38" s="641"/>
      <c r="O38" s="641"/>
      <c r="P38" s="641"/>
      <c r="Q38" s="641"/>
      <c r="R38" s="641"/>
    </row>
    <row r="39" spans="3:26" ht="16.5">
      <c r="C39" s="654" t="s">
        <v>1396</v>
      </c>
      <c r="D39" s="655"/>
      <c r="E39" s="1019">
        <f t="shared" ca="1" si="2"/>
        <v>0</v>
      </c>
      <c r="F39" s="654">
        <v>22</v>
      </c>
      <c r="G39" s="654">
        <v>60</v>
      </c>
      <c r="H39" s="654">
        <v>999</v>
      </c>
      <c r="I39" s="654">
        <v>2</v>
      </c>
      <c r="J39" s="654">
        <v>30</v>
      </c>
      <c r="K39" s="654">
        <v>9</v>
      </c>
      <c r="L39" s="641"/>
      <c r="M39" s="641"/>
      <c r="N39" s="641"/>
      <c r="O39" s="641"/>
      <c r="P39" s="641"/>
      <c r="Q39" s="641"/>
      <c r="R39" s="641"/>
    </row>
    <row r="40" spans="3:26" ht="16.5">
      <c r="C40" s="654"/>
      <c r="D40" s="655"/>
      <c r="E40" s="1019">
        <f t="shared" ca="1" si="2"/>
        <v>0</v>
      </c>
      <c r="F40" s="654">
        <v>22</v>
      </c>
      <c r="G40" s="654">
        <v>60</v>
      </c>
      <c r="H40" s="654">
        <v>999</v>
      </c>
      <c r="I40" s="654">
        <v>99</v>
      </c>
      <c r="J40" s="654">
        <v>999</v>
      </c>
      <c r="K40" s="654">
        <v>9</v>
      </c>
      <c r="L40" s="641"/>
      <c r="M40" s="641"/>
      <c r="N40" s="641"/>
      <c r="O40" s="641"/>
      <c r="P40" s="641"/>
      <c r="Q40" s="641"/>
      <c r="R40" s="641"/>
    </row>
    <row r="41" spans="3:26" ht="16.5">
      <c r="C41" s="1670" t="str">
        <f>Indexador!G11</f>
        <v>Reversão Postergação Covid Tusd em 2021</v>
      </c>
      <c r="D41" s="1671">
        <f>Indexador!G17</f>
        <v>-9235.4301805769537</v>
      </c>
      <c r="E41" s="1019">
        <f t="shared" ca="1" si="2"/>
        <v>-1.0653168010404056E-3</v>
      </c>
      <c r="F41" s="654">
        <v>22</v>
      </c>
      <c r="G41" s="654">
        <v>60</v>
      </c>
      <c r="H41" s="654">
        <v>196</v>
      </c>
      <c r="I41" s="654">
        <v>99</v>
      </c>
      <c r="J41" s="654">
        <v>999</v>
      </c>
      <c r="K41" s="654">
        <v>1</v>
      </c>
      <c r="L41" s="641"/>
      <c r="M41" s="641"/>
      <c r="N41" s="641"/>
      <c r="O41" s="641"/>
      <c r="P41" s="641"/>
      <c r="Q41" s="641"/>
      <c r="R41" s="641"/>
    </row>
    <row r="42" spans="3:26" ht="16.5">
      <c r="C42" s="1670" t="str">
        <f>Indexador!H11</f>
        <v>Reversão Postergação Covid TE em 2021</v>
      </c>
      <c r="D42" s="1671">
        <f>Indexador!H17</f>
        <v>30125.72108743199</v>
      </c>
      <c r="E42" s="1019">
        <f t="shared" ca="1" si="2"/>
        <v>3.4750343178809682E-3</v>
      </c>
      <c r="F42" s="654">
        <v>22</v>
      </c>
      <c r="G42" s="654">
        <v>60</v>
      </c>
      <c r="H42" s="654">
        <v>196</v>
      </c>
      <c r="I42" s="654">
        <v>99</v>
      </c>
      <c r="J42" s="654">
        <v>999</v>
      </c>
      <c r="K42" s="654">
        <v>2</v>
      </c>
      <c r="L42" s="641"/>
      <c r="M42" s="641"/>
      <c r="N42" s="641"/>
      <c r="O42" s="641"/>
      <c r="P42" s="641"/>
      <c r="Q42" s="641"/>
      <c r="R42" s="641"/>
    </row>
    <row r="43" spans="3:26" ht="16.5">
      <c r="C43" s="1021" t="s">
        <v>1397</v>
      </c>
      <c r="D43" s="1021">
        <f>CVA!$E$9</f>
        <v>0</v>
      </c>
      <c r="E43" s="1019">
        <f t="shared" ca="1" si="2"/>
        <v>0</v>
      </c>
      <c r="F43" s="1012">
        <v>19</v>
      </c>
      <c r="G43" s="1012">
        <v>60</v>
      </c>
      <c r="H43" s="1012">
        <v>999</v>
      </c>
      <c r="I43" s="1012">
        <v>3</v>
      </c>
      <c r="J43" s="1012">
        <v>13</v>
      </c>
      <c r="K43" s="1012">
        <v>9</v>
      </c>
      <c r="L43" s="641"/>
      <c r="M43" s="641"/>
      <c r="N43" s="641"/>
      <c r="O43" s="641"/>
      <c r="P43" s="641"/>
      <c r="Q43" s="641"/>
      <c r="R43" s="641"/>
    </row>
    <row r="44" spans="3:26" ht="16.5">
      <c r="C44" s="1021" t="s">
        <v>1398</v>
      </c>
      <c r="D44" s="1021">
        <f>CVA!$E$10</f>
        <v>0</v>
      </c>
      <c r="E44" s="1019">
        <f t="shared" ca="1" si="2"/>
        <v>0</v>
      </c>
      <c r="F44" s="1012">
        <v>19</v>
      </c>
      <c r="G44" s="1012">
        <v>60</v>
      </c>
      <c r="H44" s="1012">
        <v>999</v>
      </c>
      <c r="I44" s="1012">
        <v>3</v>
      </c>
      <c r="J44" s="1012">
        <v>15</v>
      </c>
      <c r="K44" s="1012">
        <v>9</v>
      </c>
      <c r="L44" s="641"/>
    </row>
    <row r="45" spans="3:26" ht="16.5">
      <c r="C45" s="1021" t="s">
        <v>1399</v>
      </c>
      <c r="D45" s="1021">
        <f>CVA!$E$11</f>
        <v>0</v>
      </c>
      <c r="E45" s="1019">
        <f t="shared" ca="1" si="0"/>
        <v>0</v>
      </c>
      <c r="F45" s="1012">
        <v>19</v>
      </c>
      <c r="G45" s="1012">
        <v>60</v>
      </c>
      <c r="H45" s="1012">
        <v>999</v>
      </c>
      <c r="I45" s="1012">
        <v>3</v>
      </c>
      <c r="J45" s="1012">
        <v>25</v>
      </c>
      <c r="K45" s="1012">
        <v>9</v>
      </c>
      <c r="L45" s="641"/>
    </row>
    <row r="46" spans="3:26" ht="16.5">
      <c r="C46" s="1021" t="s">
        <v>1400</v>
      </c>
      <c r="D46" s="1021">
        <f>IFERROR(CVA!$E$12*Resultado!D25/SUM(Resultado!$D$25:$D$29),0)</f>
        <v>0</v>
      </c>
      <c r="E46" s="1019">
        <f t="shared" ca="1" si="0"/>
        <v>0</v>
      </c>
      <c r="F46" s="1012">
        <v>19</v>
      </c>
      <c r="G46" s="1012">
        <v>60</v>
      </c>
      <c r="H46" s="1012">
        <v>999</v>
      </c>
      <c r="I46" s="1012">
        <v>1</v>
      </c>
      <c r="J46" s="1012">
        <v>1</v>
      </c>
      <c r="K46" s="1013">
        <v>9</v>
      </c>
      <c r="L46" s="641"/>
    </row>
    <row r="47" spans="3:26" ht="16.5">
      <c r="C47" s="1021" t="s">
        <v>1401</v>
      </c>
      <c r="D47" s="1021">
        <f>IFERROR(CVA!$E$12*Resultado!D26/SUM(Resultado!$D$25:$D$29),0)</f>
        <v>0</v>
      </c>
      <c r="E47" s="1019">
        <f t="shared" ca="1" si="0"/>
        <v>0</v>
      </c>
      <c r="F47" s="1012">
        <v>19</v>
      </c>
      <c r="G47" s="1012">
        <v>60</v>
      </c>
      <c r="H47" s="1012">
        <v>999</v>
      </c>
      <c r="I47" s="1012">
        <v>1</v>
      </c>
      <c r="J47" s="1012">
        <v>1</v>
      </c>
      <c r="K47" s="1013">
        <v>9</v>
      </c>
      <c r="L47" s="641"/>
    </row>
    <row r="48" spans="3:26" ht="16.5">
      <c r="C48" s="1021" t="s">
        <v>1402</v>
      </c>
      <c r="D48" s="1021">
        <f>IFERROR(CVA!$E$12*Resultado!D28/SUM(Resultado!$D$25:$D$29),0)</f>
        <v>0</v>
      </c>
      <c r="E48" s="1019">
        <f t="shared" ca="1" si="0"/>
        <v>0</v>
      </c>
      <c r="F48" s="1012">
        <v>19</v>
      </c>
      <c r="G48" s="1012">
        <v>60</v>
      </c>
      <c r="H48" s="1012">
        <v>999</v>
      </c>
      <c r="I48" s="1012">
        <v>1</v>
      </c>
      <c r="J48" s="1012">
        <v>1</v>
      </c>
      <c r="K48" s="1013">
        <v>9</v>
      </c>
      <c r="L48" s="641"/>
    </row>
    <row r="49" spans="3:12" ht="16.5">
      <c r="C49" s="1021" t="s">
        <v>1403</v>
      </c>
      <c r="D49" s="1021">
        <f>IFERROR(CVA!$E$12*Resultado!D27/SUM(Resultado!$D$25:$D$29),0)</f>
        <v>0</v>
      </c>
      <c r="E49" s="1019">
        <f t="shared" ca="1" si="0"/>
        <v>0</v>
      </c>
      <c r="F49" s="1012">
        <v>19</v>
      </c>
      <c r="G49" s="1012">
        <v>60</v>
      </c>
      <c r="H49" s="1012">
        <v>999</v>
      </c>
      <c r="I49" s="1012">
        <v>1</v>
      </c>
      <c r="J49" s="1012">
        <v>1</v>
      </c>
      <c r="K49" s="1013">
        <v>9</v>
      </c>
      <c r="L49" s="641"/>
    </row>
    <row r="50" spans="3:12" ht="16.5">
      <c r="C50" s="1021" t="s">
        <v>1404</v>
      </c>
      <c r="D50" s="1021">
        <f>IFERROR(CVA!$E$12*Resultado!D29/SUM(Resultado!$D$25:$D$29),0)</f>
        <v>0</v>
      </c>
      <c r="E50" s="1019">
        <f t="shared" ca="1" si="0"/>
        <v>0</v>
      </c>
      <c r="F50" s="1012">
        <v>19</v>
      </c>
      <c r="G50" s="1012">
        <v>60</v>
      </c>
      <c r="H50" s="1012">
        <v>999</v>
      </c>
      <c r="I50" s="1012">
        <v>1</v>
      </c>
      <c r="J50" s="1012">
        <v>1</v>
      </c>
      <c r="K50" s="1013">
        <v>9</v>
      </c>
      <c r="L50" s="641"/>
    </row>
    <row r="51" spans="3:12" ht="16.5">
      <c r="C51" s="1021" t="s">
        <v>1405</v>
      </c>
      <c r="D51" s="1021">
        <f>CVA!E15</f>
        <v>0</v>
      </c>
      <c r="E51" s="1019">
        <f t="shared" ca="1" si="0"/>
        <v>0</v>
      </c>
      <c r="F51" s="1012">
        <v>19</v>
      </c>
      <c r="G51" s="1012">
        <v>60</v>
      </c>
      <c r="H51" s="1012">
        <v>999</v>
      </c>
      <c r="I51" s="1012">
        <v>1</v>
      </c>
      <c r="J51" s="1012">
        <v>21</v>
      </c>
      <c r="K51" s="1013">
        <v>9</v>
      </c>
      <c r="L51" s="641"/>
    </row>
    <row r="52" spans="3:12" ht="16.5">
      <c r="C52" s="1021" t="s">
        <v>1406</v>
      </c>
      <c r="D52" s="1021">
        <f ca="1">IFERROR(CVA!$E$13*Energia!C6/Energia!$C$5,0)</f>
        <v>0</v>
      </c>
      <c r="E52" s="1019">
        <f t="shared" ca="1" si="0"/>
        <v>0</v>
      </c>
      <c r="F52" s="1012">
        <v>19</v>
      </c>
      <c r="G52" s="1012">
        <v>60</v>
      </c>
      <c r="H52" s="1012">
        <v>999</v>
      </c>
      <c r="I52" s="1012">
        <v>2</v>
      </c>
      <c r="J52" s="1012">
        <v>11</v>
      </c>
      <c r="K52" s="1013">
        <v>9</v>
      </c>
      <c r="L52" s="641"/>
    </row>
    <row r="53" spans="3:12" ht="16.5">
      <c r="C53" s="1021" t="s">
        <v>1407</v>
      </c>
      <c r="D53" s="1021">
        <f ca="1">IFERROR(CVA!$E$13*Energia!C7/Energia!$C$5,0)</f>
        <v>0</v>
      </c>
      <c r="E53" s="1019">
        <f t="shared" ca="1" si="0"/>
        <v>0</v>
      </c>
      <c r="F53" s="1012">
        <v>19</v>
      </c>
      <c r="G53" s="1012">
        <v>60</v>
      </c>
      <c r="H53" s="1012">
        <v>999</v>
      </c>
      <c r="I53" s="1012">
        <v>2</v>
      </c>
      <c r="J53" s="1012">
        <v>9</v>
      </c>
      <c r="K53" s="1012">
        <v>9</v>
      </c>
      <c r="L53" s="641"/>
    </row>
    <row r="54" spans="3:12" ht="16.5">
      <c r="C54" s="1021" t="s">
        <v>1408</v>
      </c>
      <c r="D54" s="1021">
        <f ca="1">IFERROR(CVA!$E$13*Energia!C8/Energia!$C$5,0)</f>
        <v>0</v>
      </c>
      <c r="E54" s="1019">
        <f t="shared" ca="1" si="0"/>
        <v>0</v>
      </c>
      <c r="F54" s="1012">
        <v>19</v>
      </c>
      <c r="G54" s="1012">
        <v>60</v>
      </c>
      <c r="H54" s="1012">
        <v>999</v>
      </c>
      <c r="I54" s="1012">
        <v>2</v>
      </c>
      <c r="J54" s="1012">
        <v>8</v>
      </c>
      <c r="K54" s="1012">
        <v>9</v>
      </c>
      <c r="L54" s="641"/>
    </row>
    <row r="55" spans="3:12" ht="16.5">
      <c r="C55" s="1021" t="s">
        <v>1409</v>
      </c>
      <c r="D55" s="1021">
        <f ca="1">IFERROR(CVA!$E$13*Energia!C9/Energia!$C$5,0)</f>
        <v>0</v>
      </c>
      <c r="E55" s="1019">
        <f t="shared" ca="1" si="0"/>
        <v>0</v>
      </c>
      <c r="F55" s="1012">
        <v>19</v>
      </c>
      <c r="G55" s="1012">
        <v>60</v>
      </c>
      <c r="H55" s="1012">
        <v>999</v>
      </c>
      <c r="I55" s="1012">
        <v>2</v>
      </c>
      <c r="J55" s="1012">
        <v>10</v>
      </c>
      <c r="K55" s="1012">
        <v>9</v>
      </c>
      <c r="L55" s="641"/>
    </row>
    <row r="56" spans="3:12" ht="16.5">
      <c r="C56" s="1021" t="s">
        <v>1410</v>
      </c>
      <c r="D56" s="1021">
        <f ca="1">IFERROR(CVA!$E$13*Energia!C10/Energia!$C$5,0)</f>
        <v>0</v>
      </c>
      <c r="E56" s="1019">
        <f t="shared" ca="1" si="0"/>
        <v>0</v>
      </c>
      <c r="F56" s="1012">
        <v>19</v>
      </c>
      <c r="G56" s="1012">
        <v>60</v>
      </c>
      <c r="H56" s="1012">
        <v>999</v>
      </c>
      <c r="I56" s="1012">
        <v>2</v>
      </c>
      <c r="J56" s="1012">
        <v>24</v>
      </c>
      <c r="K56" s="1012">
        <v>9</v>
      </c>
      <c r="L56" s="641"/>
    </row>
    <row r="57" spans="3:12" ht="16.5">
      <c r="C57" s="1021" t="s">
        <v>1411</v>
      </c>
      <c r="D57" s="1021">
        <f ca="1">IFERROR(CVA!$E$13*Energia!C11/Energia!$C$5,0)</f>
        <v>0</v>
      </c>
      <c r="E57" s="1019">
        <f t="shared" ca="1" si="0"/>
        <v>0</v>
      </c>
      <c r="F57" s="1012">
        <v>19</v>
      </c>
      <c r="G57" s="1012">
        <v>60</v>
      </c>
      <c r="H57" s="1012">
        <v>999</v>
      </c>
      <c r="I57" s="1012">
        <v>3</v>
      </c>
      <c r="J57" s="1012">
        <v>18</v>
      </c>
      <c r="K57" s="1012">
        <v>9</v>
      </c>
      <c r="L57" s="641"/>
    </row>
    <row r="58" spans="3:12" ht="16.5">
      <c r="C58" s="1021" t="s">
        <v>1412</v>
      </c>
      <c r="D58" s="1021">
        <f>CVA!E14</f>
        <v>0</v>
      </c>
      <c r="E58" s="1019">
        <f t="shared" ca="1" si="0"/>
        <v>0</v>
      </c>
      <c r="F58" s="1012">
        <v>19</v>
      </c>
      <c r="G58" s="1012">
        <v>60</v>
      </c>
      <c r="H58" s="1012">
        <v>999</v>
      </c>
      <c r="I58" s="1012">
        <v>3</v>
      </c>
      <c r="J58" s="1012">
        <v>16</v>
      </c>
      <c r="K58" s="1013">
        <v>9</v>
      </c>
      <c r="L58" s="641"/>
    </row>
    <row r="59" spans="3:12" ht="16.5">
      <c r="C59" s="1021" t="s">
        <v>1413</v>
      </c>
      <c r="D59" s="1021">
        <f>CVA!E17</f>
        <v>0</v>
      </c>
      <c r="E59" s="1019">
        <f t="shared" ca="1" si="0"/>
        <v>0</v>
      </c>
      <c r="F59" s="1012">
        <v>19</v>
      </c>
      <c r="G59" s="1012">
        <v>60</v>
      </c>
      <c r="H59" s="1012">
        <v>999</v>
      </c>
      <c r="I59" s="1012">
        <v>3</v>
      </c>
      <c r="J59" s="1012">
        <v>17</v>
      </c>
      <c r="K59" s="1013">
        <v>9</v>
      </c>
      <c r="L59" s="641"/>
    </row>
    <row r="60" spans="3:12" ht="16.5">
      <c r="C60" s="1021" t="s">
        <v>1414</v>
      </c>
      <c r="D60" s="1021">
        <f>IFERROR(CVA!G24,0)</f>
        <v>0</v>
      </c>
      <c r="E60" s="1019">
        <f t="shared" ca="1" si="0"/>
        <v>0</v>
      </c>
      <c r="F60" s="1012">
        <v>19</v>
      </c>
      <c r="G60" s="1012">
        <v>64</v>
      </c>
      <c r="H60" s="1012">
        <v>999</v>
      </c>
      <c r="I60" s="1012">
        <v>3</v>
      </c>
      <c r="J60" s="1012">
        <v>13</v>
      </c>
      <c r="K60" s="1013">
        <v>9</v>
      </c>
      <c r="L60" s="641"/>
    </row>
    <row r="61" spans="3:12" ht="16.5">
      <c r="C61" s="1021" t="s">
        <v>1415</v>
      </c>
      <c r="D61" s="1021">
        <f ca="1">IFERROR(CVA!G25,0)</f>
        <v>0</v>
      </c>
      <c r="E61" s="1019">
        <f t="shared" ca="1" si="0"/>
        <v>0</v>
      </c>
      <c r="F61" s="1012">
        <v>19</v>
      </c>
      <c r="G61" s="1012">
        <v>64</v>
      </c>
      <c r="H61" s="1012">
        <v>999</v>
      </c>
      <c r="I61" s="1012">
        <v>3</v>
      </c>
      <c r="J61" s="1012">
        <v>15</v>
      </c>
      <c r="K61" s="1013">
        <v>9</v>
      </c>
      <c r="L61" s="641"/>
    </row>
    <row r="62" spans="3:12" ht="16.5">
      <c r="C62" s="1021" t="s">
        <v>1416</v>
      </c>
      <c r="D62" s="1021">
        <f ca="1">IFERROR(CVA!G26,0)</f>
        <v>0</v>
      </c>
      <c r="E62" s="1019">
        <f t="shared" ca="1" si="0"/>
        <v>0</v>
      </c>
      <c r="F62" s="1012">
        <v>19</v>
      </c>
      <c r="G62" s="1012">
        <v>64</v>
      </c>
      <c r="H62" s="1012">
        <v>999</v>
      </c>
      <c r="I62" s="1012">
        <v>3</v>
      </c>
      <c r="J62" s="1012">
        <v>25</v>
      </c>
      <c r="K62" s="1013">
        <v>9</v>
      </c>
      <c r="L62" s="641"/>
    </row>
    <row r="63" spans="3:12" ht="16.5">
      <c r="C63" s="1021" t="s">
        <v>1417</v>
      </c>
      <c r="D63" s="1021">
        <f ca="1">IFERROR(CVA!G$27*Resultado!D25/SUM(Resultado!$D$25:$D$29),0)</f>
        <v>0</v>
      </c>
      <c r="E63" s="1019">
        <f t="shared" ca="1" si="0"/>
        <v>0</v>
      </c>
      <c r="F63" s="1012">
        <v>19</v>
      </c>
      <c r="G63" s="1012">
        <v>64</v>
      </c>
      <c r="H63" s="1012">
        <v>999</v>
      </c>
      <c r="I63" s="1012">
        <v>1</v>
      </c>
      <c r="J63" s="1012">
        <v>1</v>
      </c>
      <c r="K63" s="1013">
        <v>9</v>
      </c>
      <c r="L63" s="641"/>
    </row>
    <row r="64" spans="3:12" ht="16.5">
      <c r="C64" s="1021" t="s">
        <v>1418</v>
      </c>
      <c r="D64" s="1021">
        <f ca="1">IFERROR(CVA!G$27*Resultado!D26/SUM(Resultado!$D$27:$D$29),0)</f>
        <v>0</v>
      </c>
      <c r="E64" s="1019">
        <f t="shared" ca="1" si="0"/>
        <v>0</v>
      </c>
      <c r="F64" s="1012">
        <v>19</v>
      </c>
      <c r="G64" s="1012">
        <v>64</v>
      </c>
      <c r="H64" s="1012">
        <v>999</v>
      </c>
      <c r="I64" s="1012">
        <v>1</v>
      </c>
      <c r="J64" s="1012">
        <v>1</v>
      </c>
      <c r="K64" s="1013">
        <v>9</v>
      </c>
      <c r="L64" s="641"/>
    </row>
    <row r="65" spans="3:12" ht="16.5">
      <c r="C65" s="1021" t="s">
        <v>1419</v>
      </c>
      <c r="D65" s="1021">
        <f ca="1">IFERROR(CVA!G$27*Resultado!D28/SUM(Resultado!$D$25:$D$29),0)</f>
        <v>0</v>
      </c>
      <c r="E65" s="1019">
        <f t="shared" ca="1" si="0"/>
        <v>0</v>
      </c>
      <c r="F65" s="1012">
        <v>19</v>
      </c>
      <c r="G65" s="1012">
        <v>64</v>
      </c>
      <c r="H65" s="1012">
        <v>999</v>
      </c>
      <c r="I65" s="1012">
        <v>1</v>
      </c>
      <c r="J65" s="1012">
        <v>1</v>
      </c>
      <c r="K65" s="1013">
        <v>9</v>
      </c>
      <c r="L65" s="641"/>
    </row>
    <row r="66" spans="3:12" ht="16.5">
      <c r="C66" s="1021" t="s">
        <v>1420</v>
      </c>
      <c r="D66" s="1021">
        <f ca="1">IFERROR(CVA!G$27*Resultado!D27/SUM(Resultado!$D$25:$D$29),0)</f>
        <v>0</v>
      </c>
      <c r="E66" s="1019">
        <f t="shared" ca="1" si="0"/>
        <v>0</v>
      </c>
      <c r="F66" s="1012">
        <v>19</v>
      </c>
      <c r="G66" s="1012">
        <v>64</v>
      </c>
      <c r="H66" s="1012">
        <v>999</v>
      </c>
      <c r="I66" s="1012">
        <v>1</v>
      </c>
      <c r="J66" s="1012">
        <v>1</v>
      </c>
      <c r="K66" s="1013">
        <v>9</v>
      </c>
      <c r="L66" s="641"/>
    </row>
    <row r="67" spans="3:12" ht="16.5">
      <c r="C67" s="1021" t="s">
        <v>1421</v>
      </c>
      <c r="D67" s="1021">
        <f ca="1">IFERROR(CVA!G$27*Resultado!D29/SUM(Resultado!$D$25:$D$29),0)</f>
        <v>0</v>
      </c>
      <c r="E67" s="1019">
        <f t="shared" ca="1" si="0"/>
        <v>0</v>
      </c>
      <c r="F67" s="1012">
        <v>19</v>
      </c>
      <c r="G67" s="1012">
        <v>64</v>
      </c>
      <c r="H67" s="1012">
        <v>999</v>
      </c>
      <c r="I67" s="1012">
        <v>1</v>
      </c>
      <c r="J67" s="1012">
        <v>23</v>
      </c>
      <c r="K67" s="1013">
        <v>9</v>
      </c>
      <c r="L67" s="641"/>
    </row>
    <row r="68" spans="3:12" ht="16.5">
      <c r="C68" s="1021" t="s">
        <v>1422</v>
      </c>
      <c r="D68" s="1021">
        <f ca="1">IFERROR(CVA!G30,0)</f>
        <v>0</v>
      </c>
      <c r="E68" s="1019">
        <f t="shared" ca="1" si="0"/>
        <v>0</v>
      </c>
      <c r="F68" s="1012">
        <v>19</v>
      </c>
      <c r="G68" s="1012">
        <v>64</v>
      </c>
      <c r="H68" s="1012">
        <v>999</v>
      </c>
      <c r="I68" s="1012">
        <v>1</v>
      </c>
      <c r="J68" s="1012">
        <v>21</v>
      </c>
      <c r="K68" s="1013">
        <v>9</v>
      </c>
      <c r="L68" s="641"/>
    </row>
    <row r="69" spans="3:12" ht="16.5">
      <c r="C69" s="1021" t="s">
        <v>1423</v>
      </c>
      <c r="D69" s="1021">
        <f ca="1">IFERROR(CVA!$G$28*Energia!C6/Energia!$C$5,0)</f>
        <v>0</v>
      </c>
      <c r="E69" s="1019">
        <f t="shared" ca="1" si="0"/>
        <v>0</v>
      </c>
      <c r="F69" s="1012">
        <v>19</v>
      </c>
      <c r="G69" s="1012">
        <v>64</v>
      </c>
      <c r="H69" s="1012">
        <v>999</v>
      </c>
      <c r="I69" s="1012">
        <v>2</v>
      </c>
      <c r="J69" s="1012">
        <v>11</v>
      </c>
      <c r="K69" s="1013">
        <v>9</v>
      </c>
      <c r="L69" s="641"/>
    </row>
    <row r="70" spans="3:12" ht="16.5">
      <c r="C70" s="1021" t="s">
        <v>1424</v>
      </c>
      <c r="D70" s="1021">
        <f ca="1">IFERROR(CVA!$G$28*Energia!M16/Energia!$C$5,0)</f>
        <v>0</v>
      </c>
      <c r="E70" s="1019">
        <f t="shared" ca="1" si="0"/>
        <v>0</v>
      </c>
      <c r="F70" s="1012">
        <v>19</v>
      </c>
      <c r="G70" s="1012">
        <v>64</v>
      </c>
      <c r="H70" s="1012">
        <v>999</v>
      </c>
      <c r="I70" s="1012">
        <v>2</v>
      </c>
      <c r="J70" s="1012">
        <v>9</v>
      </c>
      <c r="K70" s="1013">
        <v>9</v>
      </c>
      <c r="L70" s="641"/>
    </row>
    <row r="71" spans="3:12" ht="16.5">
      <c r="C71" s="1021" t="s">
        <v>1425</v>
      </c>
      <c r="D71" s="1021">
        <f ca="1">IFERROR(CVA!$G$28*Energia!M17/Energia!$C$5,0)</f>
        <v>0</v>
      </c>
      <c r="E71" s="1019">
        <f t="shared" ca="1" si="0"/>
        <v>0</v>
      </c>
      <c r="F71" s="1012">
        <v>19</v>
      </c>
      <c r="G71" s="1012">
        <v>64</v>
      </c>
      <c r="H71" s="1012">
        <v>999</v>
      </c>
      <c r="I71" s="1012">
        <v>2</v>
      </c>
      <c r="J71" s="1012">
        <v>8</v>
      </c>
      <c r="K71" s="1013">
        <v>9</v>
      </c>
      <c r="L71" s="641"/>
    </row>
    <row r="72" spans="3:12" ht="16.5">
      <c r="C72" s="1021" t="s">
        <v>1426</v>
      </c>
      <c r="D72" s="1021">
        <f ca="1">IFERROR(CVA!$G$28*Energia!C11/Energia!$C$5,0)</f>
        <v>0</v>
      </c>
      <c r="E72" s="1019">
        <f t="shared" ca="1" si="0"/>
        <v>0</v>
      </c>
      <c r="F72" s="1012">
        <v>19</v>
      </c>
      <c r="G72" s="1012">
        <v>64</v>
      </c>
      <c r="H72" s="1012">
        <v>999</v>
      </c>
      <c r="I72" s="1012">
        <v>2</v>
      </c>
      <c r="J72" s="1012">
        <v>10</v>
      </c>
      <c r="K72" s="1013">
        <v>9</v>
      </c>
      <c r="L72" s="641"/>
    </row>
    <row r="73" spans="3:12" ht="16.5">
      <c r="C73" s="1021" t="s">
        <v>1427</v>
      </c>
      <c r="D73" s="1021">
        <f ca="1">IFERROR(CVA!$G$28*Energia!C12/Energia!$C$5,0)</f>
        <v>0</v>
      </c>
      <c r="E73" s="1019">
        <f t="shared" ref="E73:E76" ca="1" si="3">IF(ISERROR(D73/$D$4),0,D73/$D$4)</f>
        <v>0</v>
      </c>
      <c r="F73" s="1012">
        <v>19</v>
      </c>
      <c r="G73" s="1012">
        <v>64</v>
      </c>
      <c r="H73" s="1012">
        <v>999</v>
      </c>
      <c r="I73" s="1012">
        <v>2</v>
      </c>
      <c r="J73" s="1012">
        <v>24</v>
      </c>
      <c r="K73" s="1013">
        <v>9</v>
      </c>
      <c r="L73" s="641"/>
    </row>
    <row r="74" spans="3:12" ht="16.5">
      <c r="C74" s="1021" t="s">
        <v>1428</v>
      </c>
      <c r="D74" s="1021">
        <f ca="1">IFERROR(CVA!G31,0)</f>
        <v>0</v>
      </c>
      <c r="E74" s="1019">
        <f t="shared" ca="1" si="3"/>
        <v>0</v>
      </c>
      <c r="F74" s="1012">
        <v>19</v>
      </c>
      <c r="G74" s="1012">
        <v>64</v>
      </c>
      <c r="H74" s="1012">
        <v>999</v>
      </c>
      <c r="I74" s="1012">
        <v>3</v>
      </c>
      <c r="J74" s="1012">
        <v>18</v>
      </c>
      <c r="K74" s="1013">
        <v>9</v>
      </c>
      <c r="L74" s="641"/>
    </row>
    <row r="75" spans="3:12" ht="16.5">
      <c r="C75" s="1021" t="s">
        <v>1429</v>
      </c>
      <c r="D75" s="1021">
        <f ca="1">IFERROR(CVA!G29,0)</f>
        <v>0</v>
      </c>
      <c r="E75" s="1019">
        <f t="shared" ca="1" si="3"/>
        <v>0</v>
      </c>
      <c r="F75" s="1013">
        <v>19</v>
      </c>
      <c r="G75" s="1013">
        <v>64</v>
      </c>
      <c r="H75" s="1013">
        <v>999</v>
      </c>
      <c r="I75" s="1013">
        <v>3</v>
      </c>
      <c r="J75" s="1013">
        <v>16</v>
      </c>
      <c r="K75" s="1013">
        <v>9</v>
      </c>
      <c r="L75" s="641"/>
    </row>
    <row r="76" spans="3:12" ht="16.5">
      <c r="C76" s="1021" t="s">
        <v>1430</v>
      </c>
      <c r="D76" s="1021">
        <f ca="1">IFERROR(CVA!G32,0)</f>
        <v>0</v>
      </c>
      <c r="E76" s="1019">
        <f t="shared" ca="1" si="3"/>
        <v>0</v>
      </c>
      <c r="F76" s="1013">
        <v>19</v>
      </c>
      <c r="G76" s="1013">
        <v>64</v>
      </c>
      <c r="H76" s="1013">
        <v>999</v>
      </c>
      <c r="I76" s="1013">
        <v>3</v>
      </c>
      <c r="J76" s="1013">
        <v>17</v>
      </c>
      <c r="K76" s="1013">
        <v>9</v>
      </c>
      <c r="L76" s="641"/>
    </row>
    <row r="77" spans="3:12" ht="16.5">
      <c r="C77" s="1021" t="s">
        <v>1431</v>
      </c>
      <c r="D77" s="1021">
        <f ca="1">IFERROR(CVA!$I$15,0)</f>
        <v>0</v>
      </c>
      <c r="E77" s="1464">
        <f t="shared" ref="E77" ca="1" si="4">IF(ISERROR(D77/$D$5),0,D77/$D$5)</f>
        <v>0</v>
      </c>
      <c r="F77" s="1465">
        <v>22</v>
      </c>
      <c r="G77" s="1465">
        <v>62</v>
      </c>
      <c r="H77" s="1465">
        <v>220</v>
      </c>
      <c r="I77" s="1465">
        <v>2</v>
      </c>
      <c r="J77" s="1465">
        <v>30</v>
      </c>
      <c r="K77" s="1465">
        <v>9</v>
      </c>
      <c r="L77" s="641"/>
    </row>
    <row r="78" spans="3:12" ht="16.5">
      <c r="C78" s="1022"/>
    </row>
  </sheetData>
  <conditionalFormatting sqref="D25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9:E9 E27:E28 E24 E22 E21 E25 E17 E18 E23 E26 E14:E16 E12 E11 F12 F13 F14:F16 E20 F17 F22 E19 D21 D22 D27 D17 D10:D16 D18:D20 D28 D24:D25 E30:E33 D33:D34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>
    <tabColor rgb="FFFFFF00"/>
  </sheetPr>
  <dimension ref="A2:E14"/>
  <sheetViews>
    <sheetView workbookViewId="0"/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4" t="s">
        <v>2230</v>
      </c>
    </row>
    <row r="4" spans="1:5">
      <c r="B4" t="s">
        <v>2231</v>
      </c>
    </row>
    <row r="7" spans="1:5">
      <c r="A7" s="755"/>
      <c r="B7" s="755" t="s">
        <v>2225</v>
      </c>
    </row>
    <row r="8" spans="1:5">
      <c r="A8" s="755" t="s">
        <v>1031</v>
      </c>
      <c r="B8" s="1650"/>
    </row>
    <row r="9" spans="1:5">
      <c r="A9" s="755" t="s">
        <v>1050</v>
      </c>
      <c r="B9" s="1650"/>
    </row>
    <row r="11" spans="1:5" ht="47.25">
      <c r="A11" s="1658"/>
      <c r="B11" s="1659" t="s">
        <v>2232</v>
      </c>
      <c r="C11" s="1660" t="s">
        <v>2226</v>
      </c>
      <c r="D11" s="1660" t="s">
        <v>2227</v>
      </c>
      <c r="E11" s="1660" t="s">
        <v>846</v>
      </c>
    </row>
    <row r="12" spans="1:5">
      <c r="A12" s="908" t="s">
        <v>846</v>
      </c>
      <c r="B12" s="1651">
        <f>B13+B14</f>
        <v>0</v>
      </c>
      <c r="C12" s="1651">
        <f>Indexador!R49</f>
        <v>0</v>
      </c>
      <c r="D12" s="1651">
        <f>C12*85%</f>
        <v>0</v>
      </c>
      <c r="E12" s="1651">
        <f>SUM(B12:D12)</f>
        <v>0</v>
      </c>
    </row>
    <row r="13" spans="1:5">
      <c r="A13" s="755" t="s">
        <v>1031</v>
      </c>
      <c r="B13" s="1651">
        <f>Indexador!V49</f>
        <v>0</v>
      </c>
      <c r="C13" s="1651">
        <f ca="1">IFERROR($C$12*(Resultado!D32/(Resultado!$D$32+Resultado!$D$33)),0)</f>
        <v>0</v>
      </c>
      <c r="D13" s="1651">
        <f t="shared" ref="D13:D14" ca="1" si="0">C13*85%</f>
        <v>0</v>
      </c>
      <c r="E13" s="1651">
        <f t="shared" ref="E13:E14" ca="1" si="1">SUM(B13:D13)</f>
        <v>0</v>
      </c>
    </row>
    <row r="14" spans="1:5">
      <c r="A14" s="755" t="s">
        <v>1050</v>
      </c>
      <c r="B14" s="1651">
        <f>Indexador!T49</f>
        <v>0</v>
      </c>
      <c r="C14" s="1651">
        <f ca="1">IFERROR($C$12*(Resultado!D33/(Resultado!$D$32+Resultado!$D$33)),0)</f>
        <v>0</v>
      </c>
      <c r="D14" s="1651">
        <f t="shared" ca="1" si="0"/>
        <v>0</v>
      </c>
      <c r="E14" s="1651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workbookViewId="0"/>
  </sheetViews>
  <sheetFormatPr defaultColWidth="9.140625" defaultRowHeight="15" customHeight="1"/>
  <cols>
    <col min="1" max="1" width="4.42578125" style="930" customWidth="1"/>
    <col min="2" max="2" width="27.28515625" style="930" customWidth="1"/>
    <col min="3" max="5" width="17.7109375" style="931" customWidth="1"/>
    <col min="6" max="7" width="17.7109375" style="930" customWidth="1"/>
    <col min="8" max="8" width="46.42578125" style="930" customWidth="1"/>
    <col min="9" max="9" width="14.7109375" style="930" customWidth="1"/>
    <col min="10" max="13" width="12.7109375" style="930" customWidth="1"/>
    <col min="14" max="17" width="9.140625" style="930"/>
    <col min="18" max="18" width="17" style="930" customWidth="1"/>
    <col min="19" max="19" width="14.28515625" style="930" customWidth="1"/>
    <col min="20" max="20" width="15.42578125" style="930" customWidth="1"/>
    <col min="21" max="21" width="13.85546875" style="930" customWidth="1"/>
    <col min="22" max="22" width="17.140625" style="930" customWidth="1"/>
    <col min="23" max="23" width="13" style="930" customWidth="1"/>
    <col min="24" max="24" width="14.140625" style="930" customWidth="1"/>
    <col min="25" max="25" width="17.7109375" style="930" customWidth="1"/>
    <col min="26" max="26" width="17" style="930" customWidth="1"/>
    <col min="27" max="27" width="14" style="930" customWidth="1"/>
    <col min="28" max="28" width="14.85546875" style="930" customWidth="1"/>
    <col min="29" max="16384" width="9.140625" style="930"/>
  </cols>
  <sheetData>
    <row r="1" spans="1:18" ht="14.45" customHeight="1"/>
    <row r="2" spans="1:18" ht="14.45" customHeight="1">
      <c r="B2" s="932" t="s">
        <v>1432</v>
      </c>
      <c r="C2" s="933"/>
      <c r="D2" s="933"/>
      <c r="E2" s="933"/>
      <c r="F2" s="934"/>
      <c r="G2" s="934"/>
      <c r="H2" s="935" t="s">
        <v>13</v>
      </c>
      <c r="I2" s="936">
        <f>Resultado!$D$6</f>
        <v>0</v>
      </c>
      <c r="J2" s="937"/>
      <c r="K2" s="937"/>
    </row>
    <row r="3" spans="1:18" ht="14.45" customHeight="1">
      <c r="B3" s="938"/>
      <c r="C3" s="939"/>
      <c r="D3" s="939"/>
      <c r="E3" s="939"/>
      <c r="H3" s="940" t="s">
        <v>14</v>
      </c>
      <c r="I3" s="941">
        <f>Resultado!$D$8</f>
        <v>0</v>
      </c>
      <c r="J3" s="937"/>
      <c r="K3" s="937"/>
    </row>
    <row r="4" spans="1:18" ht="14.45" customHeight="1">
      <c r="B4" s="937"/>
      <c r="C4" s="939"/>
      <c r="D4" s="939"/>
      <c r="E4" s="939"/>
      <c r="F4" s="942"/>
      <c r="G4" s="937"/>
      <c r="H4" s="937"/>
      <c r="I4" s="937"/>
      <c r="J4" s="937"/>
      <c r="K4" s="937"/>
    </row>
    <row r="5" spans="1:18" ht="15" customHeight="1">
      <c r="B5" s="937"/>
      <c r="C5" s="943"/>
      <c r="D5" s="939"/>
      <c r="E5" s="939"/>
      <c r="F5" s="942"/>
      <c r="G5" s="937"/>
      <c r="H5" s="937"/>
      <c r="I5" s="937"/>
      <c r="J5" s="937"/>
      <c r="K5" s="937"/>
      <c r="R5" s="1466" t="s">
        <v>953</v>
      </c>
    </row>
    <row r="6" spans="1:18" s="947" customFormat="1" ht="15" customHeight="1">
      <c r="A6" s="944"/>
      <c r="B6" s="945"/>
      <c r="C6" s="946"/>
      <c r="D6" s="946"/>
      <c r="E6" s="946"/>
      <c r="F6" s="945"/>
      <c r="G6" s="945"/>
      <c r="H6" s="945"/>
      <c r="I6" s="945"/>
      <c r="J6" s="945"/>
      <c r="K6" s="945"/>
      <c r="R6" s="993">
        <f>DATE(YEAR(R8),MONTH(R8)-1,1)</f>
        <v>44317</v>
      </c>
    </row>
    <row r="7" spans="1:18" s="947" customFormat="1" ht="15" customHeight="1">
      <c r="A7" s="944"/>
      <c r="B7" s="948" t="s">
        <v>1433</v>
      </c>
      <c r="C7" s="946"/>
      <c r="D7" s="949"/>
      <c r="E7" s="949"/>
      <c r="F7" s="950"/>
      <c r="G7" s="945"/>
      <c r="H7" s="945"/>
      <c r="I7" s="945"/>
      <c r="J7" s="945"/>
      <c r="K7" s="945"/>
      <c r="R7" s="1466" t="s">
        <v>953</v>
      </c>
    </row>
    <row r="8" spans="1:18" ht="27.95" customHeight="1">
      <c r="B8" s="951" t="s">
        <v>855</v>
      </c>
      <c r="C8" s="951" t="s">
        <v>1434</v>
      </c>
      <c r="D8" s="951" t="s">
        <v>1435</v>
      </c>
      <c r="E8" s="951" t="s">
        <v>1436</v>
      </c>
      <c r="F8" s="937"/>
      <c r="G8" s="937"/>
      <c r="H8" s="937"/>
      <c r="I8" s="952"/>
      <c r="R8" s="993">
        <f>DATE(YEAR(R10),MONTH(R10)-1,1)</f>
        <v>44348</v>
      </c>
    </row>
    <row r="9" spans="1:18" ht="14.45" customHeight="1">
      <c r="B9" s="1467" t="s">
        <v>1437</v>
      </c>
      <c r="C9" s="1468"/>
      <c r="D9" s="1468"/>
      <c r="E9" s="1468"/>
      <c r="F9" s="937"/>
      <c r="G9" s="449"/>
      <c r="H9" s="1469" t="s">
        <v>1438</v>
      </c>
      <c r="I9" s="1470"/>
      <c r="R9" s="1466" t="s">
        <v>953</v>
      </c>
    </row>
    <row r="10" spans="1:18" ht="14.45" customHeight="1">
      <c r="B10" s="953" t="s">
        <v>41</v>
      </c>
      <c r="C10" s="954"/>
      <c r="D10" s="954"/>
      <c r="E10" s="954"/>
      <c r="F10" s="937"/>
      <c r="G10" s="449"/>
      <c r="H10" s="955" t="s">
        <v>1439</v>
      </c>
      <c r="I10" s="956">
        <f>Indexador!F173</f>
        <v>0</v>
      </c>
      <c r="R10" s="993">
        <f>DATE(YEAR(R12),MONTH(R12)-1,1)</f>
        <v>44378</v>
      </c>
    </row>
    <row r="11" spans="1:18" ht="14.45" customHeight="1">
      <c r="B11" s="953" t="s">
        <v>1440</v>
      </c>
      <c r="C11" s="954"/>
      <c r="D11" s="954"/>
      <c r="E11" s="954"/>
      <c r="F11" s="937"/>
      <c r="G11" s="937"/>
      <c r="H11" s="955" t="s">
        <v>1441</v>
      </c>
      <c r="I11" s="957"/>
      <c r="R11" s="1466" t="s">
        <v>953</v>
      </c>
    </row>
    <row r="12" spans="1:18" ht="14.45" customHeight="1">
      <c r="B12" s="953" t="s">
        <v>704</v>
      </c>
      <c r="C12" s="954"/>
      <c r="D12" s="954"/>
      <c r="E12" s="954"/>
      <c r="F12" s="937"/>
      <c r="G12" s="449"/>
      <c r="H12" s="955" t="s">
        <v>1442</v>
      </c>
      <c r="I12" s="957"/>
      <c r="R12" s="993">
        <f>DATE(YEAR(R14),MONTH(R14)-1,1)</f>
        <v>44409</v>
      </c>
    </row>
    <row r="13" spans="1:18" ht="14.45" customHeight="1">
      <c r="B13" s="953" t="s">
        <v>1443</v>
      </c>
      <c r="C13" s="954"/>
      <c r="D13" s="954"/>
      <c r="E13" s="954"/>
      <c r="F13" s="937"/>
      <c r="G13" s="449"/>
      <c r="H13" s="955" t="s">
        <v>1444</v>
      </c>
      <c r="I13" s="1471"/>
      <c r="R13" s="1466" t="s">
        <v>953</v>
      </c>
    </row>
    <row r="14" spans="1:18" ht="14.45" customHeight="1">
      <c r="B14" s="953" t="s">
        <v>126</v>
      </c>
      <c r="C14" s="954"/>
      <c r="D14" s="954"/>
      <c r="E14" s="954"/>
      <c r="F14" s="937"/>
      <c r="G14" s="449"/>
      <c r="H14" s="1469" t="s">
        <v>1445</v>
      </c>
      <c r="I14" s="1472">
        <v>0</v>
      </c>
      <c r="J14" s="937"/>
      <c r="K14" s="937"/>
      <c r="R14" s="993">
        <f>DATE(YEAR(R16),MONTH(R16)-1,1)</f>
        <v>44440</v>
      </c>
    </row>
    <row r="15" spans="1:18" ht="14.45" customHeight="1">
      <c r="B15" s="953" t="s">
        <v>1446</v>
      </c>
      <c r="C15" s="954"/>
      <c r="D15" s="954"/>
      <c r="E15" s="954"/>
      <c r="F15" s="937"/>
      <c r="G15" s="449"/>
      <c r="H15" s="1473" t="s">
        <v>1447</v>
      </c>
      <c r="I15" s="1474" t="e">
        <f ca="1">-I14*K67/K66</f>
        <v>#DIV/0!</v>
      </c>
      <c r="J15" s="937"/>
      <c r="K15" s="937"/>
      <c r="R15" s="1466" t="s">
        <v>953</v>
      </c>
    </row>
    <row r="16" spans="1:18" ht="14.45" customHeight="1">
      <c r="B16" s="953" t="s">
        <v>122</v>
      </c>
      <c r="C16" s="954"/>
      <c r="D16" s="954"/>
      <c r="E16" s="954"/>
      <c r="F16" s="938"/>
      <c r="G16" s="449"/>
      <c r="H16" s="937"/>
      <c r="I16" s="952"/>
      <c r="J16" s="937"/>
      <c r="K16" s="937"/>
      <c r="R16" s="993">
        <f>DATE(YEAR(R18),MONTH(R18)-1,1)</f>
        <v>44470</v>
      </c>
    </row>
    <row r="17" spans="1:18" ht="14.45" customHeight="1">
      <c r="B17" s="953" t="s">
        <v>46</v>
      </c>
      <c r="C17" s="954"/>
      <c r="D17" s="954"/>
      <c r="E17" s="954"/>
      <c r="F17" s="937"/>
      <c r="G17" s="449"/>
      <c r="H17" s="937"/>
      <c r="I17" s="937"/>
      <c r="J17" s="937"/>
      <c r="K17" s="937"/>
      <c r="R17" s="1466" t="s">
        <v>953</v>
      </c>
    </row>
    <row r="18" spans="1:18" ht="14.45" customHeight="1">
      <c r="B18" s="958" t="s">
        <v>846</v>
      </c>
      <c r="C18" s="959">
        <f>SUM(C9:C17)</f>
        <v>0</v>
      </c>
      <c r="D18" s="959">
        <f t="shared" ref="D18:E18" si="0">SUM(D9:D17)</f>
        <v>0</v>
      </c>
      <c r="E18" s="959">
        <f t="shared" si="0"/>
        <v>0</v>
      </c>
      <c r="F18" s="937"/>
      <c r="G18" s="937"/>
      <c r="H18" s="937"/>
      <c r="I18" s="937"/>
      <c r="J18" s="937"/>
      <c r="K18" s="937"/>
      <c r="R18" s="993">
        <f>DATE(YEAR(R20),MONTH(R20)-1,1)</f>
        <v>44501</v>
      </c>
    </row>
    <row r="19" spans="1:18" ht="14.45" hidden="1" customHeight="1">
      <c r="B19" s="937"/>
      <c r="C19" s="939"/>
      <c r="D19" s="939"/>
      <c r="E19" s="939"/>
      <c r="F19" s="937"/>
      <c r="G19" s="937"/>
      <c r="R19" s="1466" t="s">
        <v>953</v>
      </c>
    </row>
    <row r="20" spans="1:18" ht="14.45" customHeight="1">
      <c r="B20" s="937"/>
      <c r="C20" s="939"/>
      <c r="D20" s="939"/>
      <c r="E20" s="939"/>
      <c r="F20" s="937"/>
      <c r="G20" s="937"/>
      <c r="R20" s="993">
        <f>DATE(YEAR(R22),MONTH(R22)-1,1)</f>
        <v>44531</v>
      </c>
    </row>
    <row r="21" spans="1:18" s="947" customFormat="1" ht="14.45" customHeight="1">
      <c r="A21" s="944"/>
      <c r="B21" s="945"/>
      <c r="C21" s="946"/>
      <c r="D21" s="946"/>
      <c r="E21" s="946"/>
      <c r="F21" s="945"/>
      <c r="G21" s="945"/>
      <c r="R21" s="1466" t="s">
        <v>953</v>
      </c>
    </row>
    <row r="22" spans="1:18" ht="14.45" customHeight="1">
      <c r="B22" s="948" t="s">
        <v>1448</v>
      </c>
      <c r="C22" s="939"/>
      <c r="D22" s="939"/>
      <c r="E22" s="939"/>
      <c r="F22" s="937"/>
      <c r="G22" s="937"/>
      <c r="R22" s="993">
        <f>DATE(YEAR(R24),MONTH(R24)-1,1)</f>
        <v>44562</v>
      </c>
    </row>
    <row r="23" spans="1:18" ht="42" customHeight="1">
      <c r="B23" s="1475" t="s">
        <v>855</v>
      </c>
      <c r="C23" s="1475" t="s">
        <v>1449</v>
      </c>
      <c r="D23" s="1475" t="s">
        <v>1450</v>
      </c>
      <c r="E23" s="1475" t="s">
        <v>1451</v>
      </c>
      <c r="F23" s="1475" t="s">
        <v>1452</v>
      </c>
      <c r="G23" s="1475" t="s">
        <v>1453</v>
      </c>
      <c r="R23" s="1466" t="s">
        <v>953</v>
      </c>
    </row>
    <row r="24" spans="1:18" ht="14.45" customHeight="1">
      <c r="B24" s="1476" t="s">
        <v>1437</v>
      </c>
      <c r="C24" s="1477">
        <f>BD!AM7</f>
        <v>0</v>
      </c>
      <c r="D24" s="960"/>
      <c r="E24" s="1478">
        <f t="shared" ref="E24:E32" si="1">D24-C24</f>
        <v>0</v>
      </c>
      <c r="F24" s="1479"/>
      <c r="G24" s="1479"/>
      <c r="H24" s="940"/>
      <c r="I24" s="965"/>
      <c r="J24" s="965"/>
      <c r="K24" s="995"/>
      <c r="R24" s="993">
        <f>DATE(YEAR(R26),MONTH(R26)-1,1)</f>
        <v>44593</v>
      </c>
    </row>
    <row r="25" spans="1:18" ht="14.45" customHeight="1">
      <c r="B25" s="961" t="s">
        <v>41</v>
      </c>
      <c r="C25" s="962">
        <f>BD!AM8</f>
        <v>0</v>
      </c>
      <c r="D25" s="963"/>
      <c r="E25" s="964">
        <f t="shared" si="1"/>
        <v>0</v>
      </c>
      <c r="F25" s="965">
        <f ca="1">M66</f>
        <v>0</v>
      </c>
      <c r="G25" s="996" t="e">
        <f ca="1">(D25+D39)/$D$33*Indexador!$T$80-M67</f>
        <v>#DIV/0!</v>
      </c>
      <c r="H25" s="940"/>
      <c r="I25" s="965"/>
      <c r="J25" s="965"/>
      <c r="K25" s="952"/>
      <c r="R25" s="1466" t="s">
        <v>953</v>
      </c>
    </row>
    <row r="26" spans="1:18" ht="14.45" customHeight="1">
      <c r="B26" s="961" t="s">
        <v>1440</v>
      </c>
      <c r="C26" s="962">
        <f>BD!AM14</f>
        <v>0</v>
      </c>
      <c r="D26" s="963"/>
      <c r="E26" s="964">
        <f t="shared" si="1"/>
        <v>0</v>
      </c>
      <c r="F26" s="965">
        <f ca="1">X66</f>
        <v>0</v>
      </c>
      <c r="G26" s="996" t="e">
        <f ca="1">(D26+D40)/$D$33*Indexador!$T$80-X67</f>
        <v>#DIV/0!</v>
      </c>
      <c r="H26" s="940"/>
      <c r="I26" s="965"/>
      <c r="J26" s="965"/>
      <c r="K26" s="952"/>
      <c r="R26" s="993">
        <f>DATE(YEAR(R28),MONTH(R28)-1,1)</f>
        <v>44621</v>
      </c>
    </row>
    <row r="27" spans="1:18" ht="14.45" customHeight="1">
      <c r="B27" s="961" t="s">
        <v>704</v>
      </c>
      <c r="C27" s="962">
        <f>BD!AM6</f>
        <v>0</v>
      </c>
      <c r="D27" s="963"/>
      <c r="E27" s="966">
        <f t="shared" si="1"/>
        <v>0</v>
      </c>
      <c r="F27" s="967">
        <f ca="1">L66</f>
        <v>0</v>
      </c>
      <c r="G27" s="997" t="e">
        <f ca="1">D27/$D$33*Indexador!$T$80-L67</f>
        <v>#DIV/0!</v>
      </c>
      <c r="H27" s="940"/>
      <c r="I27" s="967"/>
      <c r="J27" s="967"/>
      <c r="K27" s="952"/>
      <c r="R27" s="1466" t="s">
        <v>953</v>
      </c>
    </row>
    <row r="28" spans="1:18" ht="14.45" customHeight="1">
      <c r="B28" s="961" t="s">
        <v>1443</v>
      </c>
      <c r="C28" s="962">
        <f>BD!AM13</f>
        <v>0</v>
      </c>
      <c r="D28" s="963"/>
      <c r="E28" s="966">
        <f t="shared" si="1"/>
        <v>0</v>
      </c>
      <c r="F28" s="967">
        <f ca="1">K66</f>
        <v>0</v>
      </c>
      <c r="G28" s="997" t="e">
        <f ca="1">(IF(C42=0,D28,C42)+D42)/$D$33*Indexador!$T$80-K67</f>
        <v>#DIV/0!</v>
      </c>
      <c r="H28" s="940"/>
      <c r="I28" s="967"/>
      <c r="J28" s="967"/>
      <c r="K28" s="952"/>
      <c r="R28" s="993">
        <f>B65</f>
        <v>44652</v>
      </c>
    </row>
    <row r="29" spans="1:18" ht="14.45" customHeight="1">
      <c r="B29" s="961" t="s">
        <v>126</v>
      </c>
      <c r="C29" s="962">
        <f>BD!AM9</f>
        <v>0</v>
      </c>
      <c r="D29" s="963"/>
      <c r="E29" s="966">
        <f t="shared" si="1"/>
        <v>0</v>
      </c>
      <c r="F29" s="967">
        <f ca="1">N66</f>
        <v>0</v>
      </c>
      <c r="G29" s="997" t="e">
        <f ca="1">D29/$D$33*Indexador!$T$80-N67</f>
        <v>#DIV/0!</v>
      </c>
      <c r="H29" s="940"/>
      <c r="I29" s="967"/>
      <c r="J29" s="967"/>
      <c r="K29" s="952"/>
    </row>
    <row r="30" spans="1:18" ht="14.45" customHeight="1">
      <c r="B30" s="961" t="s">
        <v>1446</v>
      </c>
      <c r="C30" s="962">
        <f>BD!AM12</f>
        <v>0</v>
      </c>
      <c r="D30" s="963"/>
      <c r="E30" s="966">
        <f t="shared" si="1"/>
        <v>0</v>
      </c>
      <c r="F30" s="967">
        <f ca="1">O66</f>
        <v>0</v>
      </c>
      <c r="G30" s="997" t="e">
        <f ca="1">D30/$D$33*Indexador!$T$80-O67</f>
        <v>#DIV/0!</v>
      </c>
      <c r="H30" s="937"/>
      <c r="I30" s="967"/>
      <c r="J30" s="967"/>
      <c r="K30" s="952"/>
    </row>
    <row r="31" spans="1:18" ht="14.45" customHeight="1">
      <c r="B31" s="961" t="s">
        <v>122</v>
      </c>
      <c r="C31" s="962">
        <f>BD!AM11</f>
        <v>0</v>
      </c>
      <c r="D31" s="963"/>
      <c r="E31" s="966">
        <f t="shared" si="1"/>
        <v>0</v>
      </c>
      <c r="F31" s="967">
        <f ca="1">Q66</f>
        <v>0</v>
      </c>
      <c r="G31" s="997" t="e">
        <f ca="1">D31/$D$33*Indexador!$T$80-Q67</f>
        <v>#DIV/0!</v>
      </c>
      <c r="I31" s="967"/>
      <c r="J31" s="967"/>
      <c r="K31" s="937"/>
    </row>
    <row r="32" spans="1:18" ht="14.45" customHeight="1">
      <c r="B32" s="968" t="s">
        <v>46</v>
      </c>
      <c r="C32" s="969">
        <f>BD!AM10</f>
        <v>0</v>
      </c>
      <c r="D32" s="963"/>
      <c r="E32" s="970">
        <f t="shared" si="1"/>
        <v>0</v>
      </c>
      <c r="F32" s="971">
        <f ca="1">P66</f>
        <v>0</v>
      </c>
      <c r="G32" s="998" t="e">
        <f ca="1">IF(C46=0,D32,C46)/$D$33*Indexador!$T$80-P67</f>
        <v>#DIV/0!</v>
      </c>
      <c r="I32" s="967"/>
      <c r="J32" s="967"/>
      <c r="K32" s="937"/>
    </row>
    <row r="33" spans="2:11" ht="14.45" customHeight="1">
      <c r="B33" s="958" t="s">
        <v>846</v>
      </c>
      <c r="C33" s="972">
        <f>SUM(C24:C32)</f>
        <v>0</v>
      </c>
      <c r="D33" s="1480">
        <f>SUM(D24:D32)</f>
        <v>0</v>
      </c>
      <c r="E33" s="972">
        <f>SUM(E24:E32)</f>
        <v>0</v>
      </c>
      <c r="F33" s="973">
        <f ca="1">SUM(F24:F32)</f>
        <v>0</v>
      </c>
      <c r="G33" s="973" t="e">
        <f ca="1">SUM(G24:G32)</f>
        <v>#DIV/0!</v>
      </c>
      <c r="I33" s="994"/>
      <c r="J33" s="994"/>
      <c r="K33" s="937"/>
    </row>
    <row r="34" spans="2:11" ht="14.45" customHeight="1">
      <c r="B34" s="937"/>
      <c r="C34" s="974"/>
      <c r="D34" s="939"/>
      <c r="E34" s="939"/>
      <c r="F34" s="937"/>
      <c r="G34" s="937"/>
      <c r="K34" s="937"/>
    </row>
    <row r="35" spans="2:11" ht="14.45" customHeight="1">
      <c r="B35" s="937"/>
      <c r="C35" s="939"/>
      <c r="D35" s="939"/>
      <c r="E35" s="939"/>
      <c r="F35" s="449"/>
      <c r="G35" s="937"/>
      <c r="K35" s="937"/>
    </row>
    <row r="36" spans="2:11" ht="14.45" customHeight="1">
      <c r="B36" s="948" t="s">
        <v>1454</v>
      </c>
      <c r="C36" s="974"/>
      <c r="D36" s="939"/>
      <c r="E36" s="939"/>
      <c r="F36" s="937"/>
      <c r="G36" s="975"/>
      <c r="K36" s="937"/>
    </row>
    <row r="37" spans="2:11" ht="43.5" customHeight="1">
      <c r="B37" s="1481" t="s">
        <v>855</v>
      </c>
      <c r="C37" s="1481" t="s">
        <v>1455</v>
      </c>
      <c r="D37" s="1481" t="s">
        <v>1456</v>
      </c>
      <c r="E37" s="976"/>
      <c r="F37" s="449"/>
      <c r="G37" s="937"/>
      <c r="H37" s="937"/>
      <c r="I37" s="937"/>
      <c r="J37" s="937"/>
      <c r="K37" s="937"/>
    </row>
    <row r="38" spans="2:11" ht="14.45" customHeight="1">
      <c r="B38" s="1467" t="s">
        <v>1437</v>
      </c>
      <c r="C38" s="1482"/>
      <c r="D38" s="977"/>
      <c r="E38" s="976"/>
      <c r="F38" s="449"/>
      <c r="G38" s="937"/>
      <c r="H38" s="937"/>
      <c r="I38" s="937"/>
      <c r="J38" s="937"/>
      <c r="K38" s="937"/>
    </row>
    <row r="39" spans="2:11" ht="14.45" customHeight="1">
      <c r="B39" s="953" t="s">
        <v>41</v>
      </c>
      <c r="C39" s="978"/>
      <c r="D39" s="979">
        <v>0</v>
      </c>
      <c r="E39" s="976"/>
      <c r="F39" s="449"/>
      <c r="G39" s="449"/>
      <c r="H39" s="937"/>
      <c r="I39" s="937"/>
      <c r="J39" s="937"/>
      <c r="K39" s="937"/>
    </row>
    <row r="40" spans="2:11" ht="14.45" customHeight="1">
      <c r="B40" s="953" t="s">
        <v>1440</v>
      </c>
      <c r="C40" s="980"/>
      <c r="D40" s="979">
        <v>0</v>
      </c>
      <c r="E40" s="976"/>
      <c r="F40" s="449"/>
      <c r="G40" s="937"/>
      <c r="H40" s="937"/>
      <c r="I40" s="937"/>
      <c r="J40" s="937"/>
      <c r="K40" s="937"/>
    </row>
    <row r="41" spans="2:11" ht="14.45" customHeight="1">
      <c r="B41" s="953" t="s">
        <v>704</v>
      </c>
      <c r="C41" s="980"/>
      <c r="D41" s="981"/>
      <c r="E41" s="976"/>
      <c r="F41" s="449"/>
      <c r="G41" s="937"/>
      <c r="H41" s="937"/>
      <c r="I41" s="937"/>
      <c r="J41" s="937"/>
      <c r="K41" s="937"/>
    </row>
    <row r="42" spans="2:11" ht="14.45" customHeight="1">
      <c r="B42" s="953" t="s">
        <v>1443</v>
      </c>
      <c r="C42" s="982"/>
      <c r="D42" s="979">
        <v>0</v>
      </c>
      <c r="E42" s="976"/>
      <c r="F42" s="449"/>
      <c r="G42" s="937"/>
      <c r="H42" s="937"/>
      <c r="I42" s="937"/>
      <c r="J42" s="937"/>
      <c r="K42" s="937"/>
    </row>
    <row r="43" spans="2:11" ht="14.45" customHeight="1">
      <c r="B43" s="953" t="s">
        <v>126</v>
      </c>
      <c r="C43" s="983"/>
      <c r="D43" s="977"/>
      <c r="E43" s="976"/>
      <c r="F43" s="449"/>
      <c r="G43" s="937"/>
      <c r="H43" s="937"/>
      <c r="I43" s="937"/>
      <c r="J43" s="937"/>
      <c r="K43" s="937"/>
    </row>
    <row r="44" spans="2:11" ht="14.45" customHeight="1">
      <c r="B44" s="953" t="s">
        <v>1446</v>
      </c>
      <c r="C44" s="983"/>
      <c r="D44" s="977"/>
      <c r="E44" s="976"/>
      <c r="F44" s="449"/>
      <c r="G44" s="937"/>
      <c r="H44" s="937"/>
      <c r="I44" s="937"/>
      <c r="J44" s="937"/>
      <c r="K44" s="937"/>
    </row>
    <row r="45" spans="2:11" ht="14.45" customHeight="1">
      <c r="B45" s="953" t="s">
        <v>122</v>
      </c>
      <c r="C45" s="983"/>
      <c r="D45" s="977"/>
      <c r="E45" s="976"/>
      <c r="F45" s="449"/>
      <c r="G45" s="937"/>
      <c r="H45" s="937"/>
      <c r="I45" s="937"/>
      <c r="J45" s="937"/>
      <c r="K45" s="937"/>
    </row>
    <row r="46" spans="2:11" ht="14.45" customHeight="1">
      <c r="B46" s="968" t="s">
        <v>46</v>
      </c>
      <c r="C46" s="984"/>
      <c r="D46" s="985"/>
      <c r="E46" s="976"/>
      <c r="F46" s="449"/>
      <c r="G46" s="937"/>
      <c r="H46" s="937"/>
      <c r="I46" s="937"/>
      <c r="J46" s="937"/>
      <c r="K46" s="937"/>
    </row>
    <row r="47" spans="2:11" ht="14.45" customHeight="1">
      <c r="B47" s="449"/>
      <c r="C47" s="976"/>
      <c r="D47" s="976"/>
      <c r="E47" s="976"/>
      <c r="F47" s="449"/>
      <c r="G47" s="937"/>
      <c r="H47" s="937"/>
      <c r="I47" s="937"/>
      <c r="J47" s="937"/>
      <c r="K47" s="937"/>
    </row>
    <row r="48" spans="2:11" ht="14.45" customHeight="1">
      <c r="B48" s="65"/>
      <c r="C48" s="986"/>
      <c r="D48" s="986"/>
      <c r="E48" s="986"/>
      <c r="F48" s="65"/>
    </row>
    <row r="49" spans="2:28" ht="14.45" customHeight="1">
      <c r="B49" s="65"/>
      <c r="C49" s="986"/>
      <c r="D49" s="986"/>
      <c r="E49" s="986"/>
      <c r="F49" s="65"/>
    </row>
    <row r="50" spans="2:28" ht="14.45" customHeight="1"/>
    <row r="52" spans="2:28" ht="15" customHeight="1">
      <c r="B52" s="921" t="s">
        <v>1003</v>
      </c>
      <c r="C52" s="921"/>
      <c r="D52" s="921"/>
      <c r="E52" s="921"/>
      <c r="F52" s="921"/>
      <c r="G52" s="921"/>
      <c r="H52" s="921"/>
      <c r="I52" s="921"/>
      <c r="J52" s="921"/>
      <c r="K52" s="987"/>
      <c r="L52" s="987"/>
      <c r="M52" s="987"/>
      <c r="N52" s="987"/>
      <c r="O52" s="987"/>
      <c r="P52" s="987"/>
      <c r="Q52" s="987"/>
      <c r="R52" s="987"/>
      <c r="S52" s="987"/>
      <c r="T52" s="987"/>
      <c r="U52" s="987"/>
      <c r="V52" s="987"/>
      <c r="W52" s="987"/>
      <c r="X52" s="987"/>
      <c r="Y52" s="987"/>
      <c r="Z52" s="987"/>
      <c r="AA52" s="987"/>
      <c r="AB52" s="987"/>
    </row>
    <row r="53" spans="2:28" ht="15" customHeight="1">
      <c r="B53" s="1483" t="s">
        <v>1004</v>
      </c>
      <c r="C53" s="1483"/>
      <c r="D53" s="988" t="s">
        <v>967</v>
      </c>
      <c r="E53" s="988" t="s">
        <v>49</v>
      </c>
      <c r="F53" s="988" t="s">
        <v>970</v>
      </c>
      <c r="G53" s="988" t="s">
        <v>47</v>
      </c>
      <c r="H53" s="988" t="s">
        <v>41</v>
      </c>
      <c r="I53" s="988" t="s">
        <v>40</v>
      </c>
      <c r="J53" s="988" t="s">
        <v>126</v>
      </c>
      <c r="K53" s="988" t="s">
        <v>1062</v>
      </c>
      <c r="L53" s="988" t="s">
        <v>1063</v>
      </c>
      <c r="M53" s="988" t="s">
        <v>1056</v>
      </c>
      <c r="N53" s="988" t="s">
        <v>1060</v>
      </c>
      <c r="O53" s="988" t="s">
        <v>1058</v>
      </c>
      <c r="P53" s="988" t="s">
        <v>1059</v>
      </c>
      <c r="Q53" s="988" t="s">
        <v>1057</v>
      </c>
      <c r="R53" s="1484" t="s">
        <v>1457</v>
      </c>
      <c r="S53" s="988" t="s">
        <v>1076</v>
      </c>
      <c r="T53" s="988" t="s">
        <v>1077</v>
      </c>
      <c r="U53" s="988" t="s">
        <v>1078</v>
      </c>
      <c r="V53" s="988" t="s">
        <v>1075</v>
      </c>
      <c r="W53" s="988" t="s">
        <v>1079</v>
      </c>
      <c r="X53" s="988" t="s">
        <v>1061</v>
      </c>
      <c r="Y53" s="988" t="s">
        <v>1055</v>
      </c>
      <c r="Z53" s="988" t="s">
        <v>1032</v>
      </c>
      <c r="AA53" s="988" t="s">
        <v>1458</v>
      </c>
      <c r="AB53" s="988" t="s">
        <v>1091</v>
      </c>
    </row>
    <row r="54" spans="2:28" ht="15" customHeight="1">
      <c r="B54" s="989">
        <f t="shared" ref="B54:B64" si="2">DATE(YEAR(B55),MONTH(B55)-1,1)</f>
        <v>44317</v>
      </c>
      <c r="C54" s="990"/>
      <c r="D54" s="1485" cm="1">
        <f t="array" aca="1" ref="D54" ca="1">DSUM(MercadoBase1,D$53,INDIRECT("r"&amp;5+2*(ROW()-54)&amp;":r"&amp;6+2*(ROW()-54)))</f>
        <v>0</v>
      </c>
      <c r="E54" s="1485" cm="1">
        <f t="array" aca="1" ref="E54" ca="1">DSUM(MercadoBase1,E$53,INDIRECT("r"&amp;5+2*(ROW()-54)&amp;":r"&amp;6+2*(ROW()-54)))</f>
        <v>0</v>
      </c>
      <c r="F54" s="1485" cm="1">
        <f t="array" aca="1" ref="F54" ca="1">DSUM(MercadoBase1,F$53,INDIRECT("r"&amp;5+2*(ROW()-54)&amp;":r"&amp;6+2*(ROW()-54)))</f>
        <v>0</v>
      </c>
      <c r="G54" s="1485" cm="1">
        <f t="array" aca="1" ref="G54" ca="1">DSUM(MercadoBase1,G$53,INDIRECT("r"&amp;5+2*(ROW()-54)&amp;":r"&amp;6+2*(ROW()-54)))</f>
        <v>6723.1129941688405</v>
      </c>
      <c r="H54" s="1485" cm="1">
        <f t="array" aca="1" ref="H54" ca="1">DSUM(MercadoBase1,H$53,INDIRECT("r"&amp;5+2*(ROW()-54)&amp;":r"&amp;6+2*(ROW()-54)))</f>
        <v>16399.988329856234</v>
      </c>
      <c r="I54" s="1485" cm="1">
        <f t="array" aca="1" ref="I54" ca="1">DSUM(MercadoBase1,I$53,INDIRECT("r"&amp;5+2*(ROW()-54)&amp;":r"&amp;6+2*(ROW()-54)))</f>
        <v>1444.0731377213895</v>
      </c>
      <c r="J54" s="1485" cm="1">
        <f t="array" aca="1" ref="J54" ca="1">DSUM(MercadoBase1,J$53,INDIRECT("r"&amp;5+2*(ROW()-54)&amp;":r"&amp;6+2*(ROW()-54)))</f>
        <v>0</v>
      </c>
      <c r="K54" s="1485" cm="1">
        <f t="array" aca="1" ref="K54" ca="1">DSUM(MercadoBase1,K$53,INDIRECT("r"&amp;5+2*(ROW()-54)&amp;":r"&amp;6+2*(ROW()-54)))</f>
        <v>0</v>
      </c>
      <c r="L54" s="1485" cm="1">
        <f t="array" aca="1" ref="L54" ca="1">DSUM(MercadoBase1,L$53,INDIRECT("r"&amp;5+2*(ROW()-54)&amp;":r"&amp;6+2*(ROW()-54)))</f>
        <v>0</v>
      </c>
      <c r="M54" s="1485" cm="1">
        <f t="array" aca="1" ref="M54" ca="1">DSUM(MercadoBase1,M$53,INDIRECT("r"&amp;5+2*(ROW()-54)&amp;":r"&amp;6+2*(ROW()-54)))</f>
        <v>0</v>
      </c>
      <c r="N54" s="1485" cm="1">
        <f t="array" aca="1" ref="N54" ca="1">DSUM(MercadoBase1,N$53,INDIRECT("r"&amp;5+2*(ROW()-54)&amp;":r"&amp;6+2*(ROW()-54)))</f>
        <v>0</v>
      </c>
      <c r="O54" s="1485" cm="1">
        <f t="array" aca="1" ref="O54" ca="1">DSUM(MercadoBase1,O$53,INDIRECT("r"&amp;5+2*(ROW()-54)&amp;":r"&amp;6+2*(ROW()-54)))</f>
        <v>0</v>
      </c>
      <c r="P54" s="1485" cm="1">
        <f t="array" aca="1" ref="P54" ca="1">DSUM(MercadoBase1,P$53,INDIRECT("r"&amp;5+2*(ROW()-54)&amp;":r"&amp;6+2*(ROW()-54)))</f>
        <v>0</v>
      </c>
      <c r="Q54" s="1486" cm="1">
        <f t="array" aca="1" ref="Q54" ca="1">DSUM(MercadoBase1,Q$53,INDIRECT("r"&amp;5+2*(ROW()-54)&amp;":r"&amp;6+2*(ROW()-54)))</f>
        <v>0</v>
      </c>
      <c r="R54" s="1487">
        <f>VLOOKUP(CAPA!$C$17,Índices!B:F,5,FALSE)/VLOOKUP(DATE(YEAR(B54),MONTH(B54),1),Índices!B:F,5,FALSE)</f>
        <v>1.0682459450339878</v>
      </c>
      <c r="S54" s="1488" cm="1">
        <f t="array" aca="1" ref="S54" ca="1">DSUM(MercadoBase1,S$53,INDIRECT("r"&amp;5+2*(ROW()-54)&amp;":r"&amp;6+2*(ROW()-54)))</f>
        <v>0</v>
      </c>
      <c r="T54" s="1485" cm="1">
        <f t="array" aca="1" ref="T54" ca="1">DSUM(MercadoBase1,T$53,INDIRECT("r"&amp;5+2*(ROW()-54)&amp;":r"&amp;6+2*(ROW()-54)))</f>
        <v>0</v>
      </c>
      <c r="U54" s="1485" cm="1">
        <f t="array" aca="1" ref="U54" ca="1">DSUM(MercadoBase1,U$53,INDIRECT("r"&amp;5+2*(ROW()-54)&amp;":r"&amp;6+2*(ROW()-54)))</f>
        <v>0</v>
      </c>
      <c r="V54" s="1485" cm="1">
        <f t="array" aca="1" ref="V54" ca="1">DSUM(MercadoBase1,V$53,INDIRECT("r"&amp;5+2*(ROW()-54)&amp;":r"&amp;6+2*(ROW()-54)))</f>
        <v>0</v>
      </c>
      <c r="W54" s="1485" cm="1">
        <f t="array" aca="1" ref="W54" ca="1">DSUM(MercadoBase1,W$53,INDIRECT("r"&amp;5+2*(ROW()-54)&amp;":r"&amp;6+2*(ROW()-54)))</f>
        <v>0</v>
      </c>
      <c r="X54" s="1485" cm="1">
        <f t="array" aca="1" ref="X54" ca="1">DSUM(MercadoBase1,X$53,INDIRECT("r"&amp;5+2*(ROW()-54)&amp;":r"&amp;6+2*(ROW()-54)))</f>
        <v>0</v>
      </c>
      <c r="Y54" s="1485" cm="1">
        <f t="array" aca="1" ref="Y54" ca="1">DSUM(MercadoBase1,Y$53,INDIRECT("r"&amp;5+2*(ROW()-54)&amp;":r"&amp;6+2*(ROW()-54)))</f>
        <v>0</v>
      </c>
      <c r="Z54" s="1485" cm="1">
        <f t="array" aca="1" ref="Z54" ca="1">DSUM(MercadoBase1,Z$53,INDIRECT("r"&amp;5+2*(ROW()-54)&amp;":r"&amp;6+2*(ROW()-54)))</f>
        <v>344856.23367097462</v>
      </c>
      <c r="AA54" s="1485" cm="1">
        <f t="array" aca="1" ref="AA54" ca="1">DSUM(MercadoBase1,AA$53,INDIRECT("r"&amp;5+2*(ROW()-54)&amp;":r"&amp;6+2*(ROW()-54)))</f>
        <v>0</v>
      </c>
      <c r="AB54" s="1485" cm="1">
        <f t="array" aca="1" ref="AB54" ca="1">DSUM(MercadoBase1,AB$53,INDIRECT("r"&amp;5+2*(ROW()-54)&amp;":r"&amp;6+2*(ROW()-54)))</f>
        <v>0</v>
      </c>
    </row>
    <row r="55" spans="2:28" ht="15" customHeight="1">
      <c r="B55" s="989">
        <f t="shared" si="2"/>
        <v>44348</v>
      </c>
      <c r="C55" s="990"/>
      <c r="D55" s="991" cm="1">
        <f t="array" aca="1" ref="D55" ca="1">DSUM(MercadoBase1,D$53,INDIRECT("r"&amp;5+2*(ROW()-54)&amp;":r"&amp;6+2*(ROW()-54)))</f>
        <v>0</v>
      </c>
      <c r="E55" s="991" cm="1">
        <f t="array" aca="1" ref="E55" ca="1">DSUM(MercadoBase1,E$53,INDIRECT("r"&amp;5+2*(ROW()-54)&amp;":r"&amp;6+2*(ROW()-54)))</f>
        <v>0</v>
      </c>
      <c r="F55" s="991" cm="1">
        <f t="array" aca="1" ref="F55" ca="1">DSUM(MercadoBase1,F$53,INDIRECT("r"&amp;5+2*(ROW()-54)&amp;":r"&amp;6+2*(ROW()-54)))</f>
        <v>0</v>
      </c>
      <c r="G55" s="991" cm="1">
        <f t="array" aca="1" ref="G55" ca="1">DSUM(MercadoBase1,G$53,INDIRECT("r"&amp;5+2*(ROW()-54)&amp;":r"&amp;6+2*(ROW()-54)))</f>
        <v>6500.517053502309</v>
      </c>
      <c r="H55" s="991" cm="1">
        <f t="array" aca="1" ref="H55" ca="1">DSUM(MercadoBase1,H$53,INDIRECT("r"&amp;5+2*(ROW()-54)&amp;":r"&amp;6+2*(ROW()-54)))</f>
        <v>15850.256822495276</v>
      </c>
      <c r="I55" s="991" cm="1">
        <f t="array" aca="1" ref="I55" ca="1">DSUM(MercadoBase1,I$53,INDIRECT("r"&amp;5+2*(ROW()-54)&amp;":r"&amp;6+2*(ROW()-54)))</f>
        <v>1387.1437703808199</v>
      </c>
      <c r="J55" s="991" cm="1">
        <f t="array" aca="1" ref="J55" ca="1">DSUM(MercadoBase1,J$53,INDIRECT("r"&amp;5+2*(ROW()-54)&amp;":r"&amp;6+2*(ROW()-54)))</f>
        <v>0</v>
      </c>
      <c r="K55" s="991" cm="1">
        <f t="array" aca="1" ref="K55" ca="1">DSUM(MercadoBase1,K$53,INDIRECT("r"&amp;5+2*(ROW()-54)&amp;":r"&amp;6+2*(ROW()-54)))</f>
        <v>0</v>
      </c>
      <c r="L55" s="991" cm="1">
        <f t="array" aca="1" ref="L55" ca="1">DSUM(MercadoBase1,L$53,INDIRECT("r"&amp;5+2*(ROW()-54)&amp;":r"&amp;6+2*(ROW()-54)))</f>
        <v>0</v>
      </c>
      <c r="M55" s="991" cm="1">
        <f t="array" aca="1" ref="M55" ca="1">DSUM(MercadoBase1,M$53,INDIRECT("r"&amp;5+2*(ROW()-54)&amp;":r"&amp;6+2*(ROW()-54)))</f>
        <v>0</v>
      </c>
      <c r="N55" s="991" cm="1">
        <f t="array" aca="1" ref="N55" ca="1">DSUM(MercadoBase1,N$53,INDIRECT("r"&amp;5+2*(ROW()-54)&amp;":r"&amp;6+2*(ROW()-54)))</f>
        <v>0</v>
      </c>
      <c r="O55" s="991" cm="1">
        <f t="array" aca="1" ref="O55" ca="1">DSUM(MercadoBase1,O$53,INDIRECT("r"&amp;5+2*(ROW()-54)&amp;":r"&amp;6+2*(ROW()-54)))</f>
        <v>0</v>
      </c>
      <c r="P55" s="991" cm="1">
        <f t="array" aca="1" ref="P55" ca="1">DSUM(MercadoBase1,P$53,INDIRECT("r"&amp;5+2*(ROW()-54)&amp;":r"&amp;6+2*(ROW()-54)))</f>
        <v>0</v>
      </c>
      <c r="Q55" s="999" cm="1">
        <f t="array" aca="1" ref="Q55" ca="1">DSUM(MercadoBase1,Q$53,INDIRECT("r"&amp;5+2*(ROW()-54)&amp;":r"&amp;6+2*(ROW()-54)))</f>
        <v>0</v>
      </c>
      <c r="R55" s="992">
        <f>VLOOKUP(CAPA!$C$17,Índices!B:F,5,FALSE)/VLOOKUP(DATE(YEAR(B55),MONTH(B55),1),Índices!B:F,5,FALSE)</f>
        <v>1.0649681969044948</v>
      </c>
      <c r="S55" s="1001" cm="1">
        <f t="array" aca="1" ref="S55" ca="1">DSUM(MercadoBase1,S$53,INDIRECT("r"&amp;5+2*(ROW()-54)&amp;":r"&amp;6+2*(ROW()-54)))</f>
        <v>0</v>
      </c>
      <c r="T55" s="991" cm="1">
        <f t="array" aca="1" ref="T55" ca="1">DSUM(MercadoBase1,T$53,INDIRECT("r"&amp;5+2*(ROW()-54)&amp;":r"&amp;6+2*(ROW()-54)))</f>
        <v>0</v>
      </c>
      <c r="U55" s="991" cm="1">
        <f t="array" aca="1" ref="U55" ca="1">DSUM(MercadoBase1,U$53,INDIRECT("r"&amp;5+2*(ROW()-54)&amp;":r"&amp;6+2*(ROW()-54)))</f>
        <v>0</v>
      </c>
      <c r="V55" s="991" cm="1">
        <f t="array" aca="1" ref="V55" ca="1">DSUM(MercadoBase1,V$53,INDIRECT("r"&amp;5+2*(ROW()-54)&amp;":r"&amp;6+2*(ROW()-54)))</f>
        <v>0</v>
      </c>
      <c r="W55" s="991" cm="1">
        <f t="array" aca="1" ref="W55" ca="1">DSUM(MercadoBase1,W$53,INDIRECT("r"&amp;5+2*(ROW()-54)&amp;":r"&amp;6+2*(ROW()-54)))</f>
        <v>0</v>
      </c>
      <c r="X55" s="991" cm="1">
        <f t="array" aca="1" ref="X55" ca="1">DSUM(MercadoBase1,X$53,INDIRECT("r"&amp;5+2*(ROW()-54)&amp;":r"&amp;6+2*(ROW()-54)))</f>
        <v>0</v>
      </c>
      <c r="Y55" s="991" cm="1">
        <f t="array" aca="1" ref="Y55" ca="1">DSUM(MercadoBase1,Y$53,INDIRECT("r"&amp;5+2*(ROW()-54)&amp;":r"&amp;6+2*(ROW()-54)))</f>
        <v>0</v>
      </c>
      <c r="Z55" s="991" cm="1">
        <f t="array" aca="1" ref="Z55" ca="1">DSUM(MercadoBase1,Z$53,INDIRECT("r"&amp;5+2*(ROW()-54)&amp;":r"&amp;6+2*(ROW()-54)))</f>
        <v>331060.89435900975</v>
      </c>
      <c r="AA55" s="991" cm="1">
        <f t="array" aca="1" ref="AA55" ca="1">DSUM(MercadoBase1,AA$53,INDIRECT("r"&amp;5+2*(ROW()-54)&amp;":r"&amp;6+2*(ROW()-54)))</f>
        <v>0</v>
      </c>
      <c r="AB55" s="991" cm="1">
        <f t="array" aca="1" ref="AB55" ca="1">DSUM(MercadoBase1,AB$53,INDIRECT("r"&amp;5+2*(ROW()-54)&amp;":r"&amp;6+2*(ROW()-54)))</f>
        <v>0</v>
      </c>
    </row>
    <row r="56" spans="2:28" ht="15" customHeight="1">
      <c r="B56" s="989">
        <f t="shared" si="2"/>
        <v>44378</v>
      </c>
      <c r="C56" s="990"/>
      <c r="D56" s="991" cm="1">
        <f t="array" aca="1" ref="D56" ca="1">DSUM(MercadoBase1,D$53,INDIRECT("r"&amp;5+2*(ROW()-54)&amp;":r"&amp;6+2*(ROW()-54)))</f>
        <v>0</v>
      </c>
      <c r="E56" s="991" cm="1">
        <f t="array" aca="1" ref="E56" ca="1">DSUM(MercadoBase1,E$53,INDIRECT("r"&amp;5+2*(ROW()-54)&amp;":r"&amp;6+2*(ROW()-54)))</f>
        <v>0</v>
      </c>
      <c r="F56" s="991" cm="1">
        <f t="array" aca="1" ref="F56" ca="1">DSUM(MercadoBase1,F$53,INDIRECT("r"&amp;5+2*(ROW()-54)&amp;":r"&amp;6+2*(ROW()-54)))</f>
        <v>0</v>
      </c>
      <c r="G56" s="991" cm="1">
        <f t="array" aca="1" ref="G56" ca="1">DSUM(MercadoBase1,G$53,INDIRECT("r"&amp;5+2*(ROW()-54)&amp;":r"&amp;6+2*(ROW()-54)))</f>
        <v>6265.4761249837375</v>
      </c>
      <c r="H56" s="991" cm="1">
        <f t="array" aca="1" ref="H56" ca="1">DSUM(MercadoBase1,H$53,INDIRECT("r"&amp;5+2*(ROW()-54)&amp;":r"&amp;6+2*(ROW()-54)))</f>
        <v>15274.39368243946</v>
      </c>
      <c r="I56" s="991" cm="1">
        <f t="array" aca="1" ref="I56" ca="1">DSUM(MercadoBase1,I$53,INDIRECT("r"&amp;5+2*(ROW()-54)&amp;":r"&amp;6+2*(ROW()-54)))</f>
        <v>1339.6976471664877</v>
      </c>
      <c r="J56" s="991" cm="1">
        <f t="array" aca="1" ref="J56" ca="1">DSUM(MercadoBase1,J$53,INDIRECT("r"&amp;5+2*(ROW()-54)&amp;":r"&amp;6+2*(ROW()-54)))</f>
        <v>0</v>
      </c>
      <c r="K56" s="991" cm="1">
        <f t="array" aca="1" ref="K56" ca="1">DSUM(MercadoBase1,K$53,INDIRECT("r"&amp;5+2*(ROW()-54)&amp;":r"&amp;6+2*(ROW()-54)))</f>
        <v>0</v>
      </c>
      <c r="L56" s="991" cm="1">
        <f t="array" aca="1" ref="L56" ca="1">DSUM(MercadoBase1,L$53,INDIRECT("r"&amp;5+2*(ROW()-54)&amp;":r"&amp;6+2*(ROW()-54)))</f>
        <v>0</v>
      </c>
      <c r="M56" s="991" cm="1">
        <f t="array" aca="1" ref="M56" ca="1">DSUM(MercadoBase1,M$53,INDIRECT("r"&amp;5+2*(ROW()-54)&amp;":r"&amp;6+2*(ROW()-54)))</f>
        <v>0</v>
      </c>
      <c r="N56" s="991" cm="1">
        <f t="array" aca="1" ref="N56" ca="1">DSUM(MercadoBase1,N$53,INDIRECT("r"&amp;5+2*(ROW()-54)&amp;":r"&amp;6+2*(ROW()-54)))</f>
        <v>0</v>
      </c>
      <c r="O56" s="991" cm="1">
        <f t="array" aca="1" ref="O56" ca="1">DSUM(MercadoBase1,O$53,INDIRECT("r"&amp;5+2*(ROW()-54)&amp;":r"&amp;6+2*(ROW()-54)))</f>
        <v>0</v>
      </c>
      <c r="P56" s="991" cm="1">
        <f t="array" aca="1" ref="P56" ca="1">DSUM(MercadoBase1,P$53,INDIRECT("r"&amp;5+2*(ROW()-54)&amp;":r"&amp;6+2*(ROW()-54)))</f>
        <v>0</v>
      </c>
      <c r="Q56" s="999" cm="1">
        <f t="array" aca="1" ref="Q56" ca="1">DSUM(MercadoBase1,Q$53,INDIRECT("r"&amp;5+2*(ROW()-54)&amp;":r"&amp;6+2*(ROW()-54)))</f>
        <v>0</v>
      </c>
      <c r="R56" s="992">
        <f>VLOOKUP(CAPA!$C$17,Índices!B:F,5,FALSE)/VLOOKUP(DATE(YEAR(B56),MONTH(B56),1),Índices!B:F,5,FALSE)</f>
        <v>1.0611944178742971</v>
      </c>
      <c r="S56" s="1001" cm="1">
        <f t="array" aca="1" ref="S56" ca="1">DSUM(MercadoBase1,S$53,INDIRECT("r"&amp;5+2*(ROW()-54)&amp;":r"&amp;6+2*(ROW()-54)))</f>
        <v>0</v>
      </c>
      <c r="T56" s="991" cm="1">
        <f t="array" aca="1" ref="T56" ca="1">DSUM(MercadoBase1,T$53,INDIRECT("r"&amp;5+2*(ROW()-54)&amp;":r"&amp;6+2*(ROW()-54)))</f>
        <v>0</v>
      </c>
      <c r="U56" s="991" cm="1">
        <f t="array" aca="1" ref="U56" ca="1">DSUM(MercadoBase1,U$53,INDIRECT("r"&amp;5+2*(ROW()-54)&amp;":r"&amp;6+2*(ROW()-54)))</f>
        <v>0</v>
      </c>
      <c r="V56" s="991" cm="1">
        <f t="array" aca="1" ref="V56" ca="1">DSUM(MercadoBase1,V$53,INDIRECT("r"&amp;5+2*(ROW()-54)&amp;":r"&amp;6+2*(ROW()-54)))</f>
        <v>0</v>
      </c>
      <c r="W56" s="991" cm="1">
        <f t="array" aca="1" ref="W56" ca="1">DSUM(MercadoBase1,W$53,INDIRECT("r"&amp;5+2*(ROW()-54)&amp;":r"&amp;6+2*(ROW()-54)))</f>
        <v>0</v>
      </c>
      <c r="X56" s="991" cm="1">
        <f t="array" aca="1" ref="X56" ca="1">DSUM(MercadoBase1,X$53,INDIRECT("r"&amp;5+2*(ROW()-54)&amp;":r"&amp;6+2*(ROW()-54)))</f>
        <v>0</v>
      </c>
      <c r="Y56" s="991" cm="1">
        <f t="array" aca="1" ref="Y56" ca="1">DSUM(MercadoBase1,Y$53,INDIRECT("r"&amp;5+2*(ROW()-54)&amp;":r"&amp;6+2*(ROW()-54)))</f>
        <v>0</v>
      </c>
      <c r="Z56" s="991" cm="1">
        <f t="array" aca="1" ref="Z56" ca="1">DSUM(MercadoBase1,Z$53,INDIRECT("r"&amp;5+2*(ROW()-54)&amp;":r"&amp;6+2*(ROW()-54)))</f>
        <v>319817.87106261239</v>
      </c>
      <c r="AA56" s="991" cm="1">
        <f t="array" aca="1" ref="AA56" ca="1">DSUM(MercadoBase1,AA$53,INDIRECT("r"&amp;5+2*(ROW()-54)&amp;":r"&amp;6+2*(ROW()-54)))</f>
        <v>0</v>
      </c>
      <c r="AB56" s="991" cm="1">
        <f t="array" aca="1" ref="AB56" ca="1">DSUM(MercadoBase1,AB$53,INDIRECT("r"&amp;5+2*(ROW()-54)&amp;":r"&amp;6+2*(ROW()-54)))</f>
        <v>0</v>
      </c>
    </row>
    <row r="57" spans="2:28" ht="15" customHeight="1">
      <c r="B57" s="989">
        <f t="shared" si="2"/>
        <v>44409</v>
      </c>
      <c r="C57" s="990"/>
      <c r="D57" s="991" cm="1">
        <f t="array" aca="1" ref="D57" ca="1">DSUM(MercadoBase1,D$53,INDIRECT("r"&amp;5+2*(ROW()-54)&amp;":r"&amp;6+2*(ROW()-54)))</f>
        <v>0</v>
      </c>
      <c r="E57" s="991" cm="1">
        <f t="array" aca="1" ref="E57" ca="1">DSUM(MercadoBase1,E$53,INDIRECT("r"&amp;5+2*(ROW()-54)&amp;":r"&amp;6+2*(ROW()-54)))</f>
        <v>0</v>
      </c>
      <c r="F57" s="991" cm="1">
        <f t="array" aca="1" ref="F57" ca="1">DSUM(MercadoBase1,F$53,INDIRECT("r"&amp;5+2*(ROW()-54)&amp;":r"&amp;6+2*(ROW()-54)))</f>
        <v>0</v>
      </c>
      <c r="G57" s="991" cm="1">
        <f t="array" aca="1" ref="G57" ca="1">DSUM(MercadoBase1,G$53,INDIRECT("r"&amp;5+2*(ROW()-54)&amp;":r"&amp;6+2*(ROW()-54)))</f>
        <v>6241.2069713200008</v>
      </c>
      <c r="H57" s="991" cm="1">
        <f t="array" aca="1" ref="H57" ca="1">DSUM(MercadoBase1,H$53,INDIRECT("r"&amp;5+2*(ROW()-54)&amp;":r"&amp;6+2*(ROW()-54)))</f>
        <v>15206.651898727303</v>
      </c>
      <c r="I57" s="991" cm="1">
        <f t="array" aca="1" ref="I57" ca="1">DSUM(MercadoBase1,I$53,INDIRECT("r"&amp;5+2*(ROW()-54)&amp;":r"&amp;6+2*(ROW()-54)))</f>
        <v>1335.9367430191901</v>
      </c>
      <c r="J57" s="991" cm="1">
        <f t="array" aca="1" ref="J57" ca="1">DSUM(MercadoBase1,J$53,INDIRECT("r"&amp;5+2*(ROW()-54)&amp;":r"&amp;6+2*(ROW()-54)))</f>
        <v>0</v>
      </c>
      <c r="K57" s="991" cm="1">
        <f t="array" aca="1" ref="K57" ca="1">DSUM(MercadoBase1,K$53,INDIRECT("r"&amp;5+2*(ROW()-54)&amp;":r"&amp;6+2*(ROW()-54)))</f>
        <v>0</v>
      </c>
      <c r="L57" s="991" cm="1">
        <f t="array" aca="1" ref="L57" ca="1">DSUM(MercadoBase1,L$53,INDIRECT("r"&amp;5+2*(ROW()-54)&amp;":r"&amp;6+2*(ROW()-54)))</f>
        <v>0</v>
      </c>
      <c r="M57" s="991" cm="1">
        <f t="array" aca="1" ref="M57" ca="1">DSUM(MercadoBase1,M$53,INDIRECT("r"&amp;5+2*(ROW()-54)&amp;":r"&amp;6+2*(ROW()-54)))</f>
        <v>0</v>
      </c>
      <c r="N57" s="991" cm="1">
        <f t="array" aca="1" ref="N57" ca="1">DSUM(MercadoBase1,N$53,INDIRECT("r"&amp;5+2*(ROW()-54)&amp;":r"&amp;6+2*(ROW()-54)))</f>
        <v>0</v>
      </c>
      <c r="O57" s="991" cm="1">
        <f t="array" aca="1" ref="O57" ca="1">DSUM(MercadoBase1,O$53,INDIRECT("r"&amp;5+2*(ROW()-54)&amp;":r"&amp;6+2*(ROW()-54)))</f>
        <v>0</v>
      </c>
      <c r="P57" s="991" cm="1">
        <f t="array" aca="1" ref="P57" ca="1">DSUM(MercadoBase1,P$53,INDIRECT("r"&amp;5+2*(ROW()-54)&amp;":r"&amp;6+2*(ROW()-54)))</f>
        <v>0</v>
      </c>
      <c r="Q57" s="999" cm="1">
        <f t="array" aca="1" ref="Q57" ca="1">DSUM(MercadoBase1,Q$53,INDIRECT("r"&amp;5+2*(ROW()-54)&amp;":r"&amp;6+2*(ROW()-54)))</f>
        <v>0</v>
      </c>
      <c r="R57" s="992">
        <f>VLOOKUP(CAPA!$C$17,Índices!B:F,5,FALSE)/VLOOKUP(DATE(YEAR(B57),MONTH(B57),1),Índices!B:F,5,FALSE)</f>
        <v>1.0566723623223448</v>
      </c>
      <c r="S57" s="1001" cm="1">
        <f t="array" aca="1" ref="S57" ca="1">DSUM(MercadoBase1,S$53,INDIRECT("r"&amp;5+2*(ROW()-54)&amp;":r"&amp;6+2*(ROW()-54)))</f>
        <v>0</v>
      </c>
      <c r="T57" s="991" cm="1">
        <f t="array" aca="1" ref="T57" ca="1">DSUM(MercadoBase1,T$53,INDIRECT("r"&amp;5+2*(ROW()-54)&amp;":r"&amp;6+2*(ROW()-54)))</f>
        <v>0</v>
      </c>
      <c r="U57" s="991" cm="1">
        <f t="array" aca="1" ref="U57" ca="1">DSUM(MercadoBase1,U$53,INDIRECT("r"&amp;5+2*(ROW()-54)&amp;":r"&amp;6+2*(ROW()-54)))</f>
        <v>0</v>
      </c>
      <c r="V57" s="991" cm="1">
        <f t="array" aca="1" ref="V57" ca="1">DSUM(MercadoBase1,V$53,INDIRECT("r"&amp;5+2*(ROW()-54)&amp;":r"&amp;6+2*(ROW()-54)))</f>
        <v>0</v>
      </c>
      <c r="W57" s="991" cm="1">
        <f t="array" aca="1" ref="W57" ca="1">DSUM(MercadoBase1,W$53,INDIRECT("r"&amp;5+2*(ROW()-54)&amp;":r"&amp;6+2*(ROW()-54)))</f>
        <v>0</v>
      </c>
      <c r="X57" s="991" cm="1">
        <f t="array" aca="1" ref="X57" ca="1">DSUM(MercadoBase1,X$53,INDIRECT("r"&amp;5+2*(ROW()-54)&amp;":r"&amp;6+2*(ROW()-54)))</f>
        <v>0</v>
      </c>
      <c r="Y57" s="991" cm="1">
        <f t="array" aca="1" ref="Y57" ca="1">DSUM(MercadoBase1,Y$53,INDIRECT("r"&amp;5+2*(ROW()-54)&amp;":r"&amp;6+2*(ROW()-54)))</f>
        <v>0</v>
      </c>
      <c r="Z57" s="991" cm="1">
        <f t="array" aca="1" ref="Z57" ca="1">DSUM(MercadoBase1,Z$53,INDIRECT("r"&amp;5+2*(ROW()-54)&amp;":r"&amp;6+2*(ROW()-54)))</f>
        <v>318570.48715979297</v>
      </c>
      <c r="AA57" s="991" cm="1">
        <f t="array" aca="1" ref="AA57" ca="1">DSUM(MercadoBase1,AA$53,INDIRECT("r"&amp;5+2*(ROW()-54)&amp;":r"&amp;6+2*(ROW()-54)))</f>
        <v>0</v>
      </c>
      <c r="AB57" s="991" cm="1">
        <f t="array" aca="1" ref="AB57" ca="1">DSUM(MercadoBase1,AB$53,INDIRECT("r"&amp;5+2*(ROW()-54)&amp;":r"&amp;6+2*(ROW()-54)))</f>
        <v>0</v>
      </c>
    </row>
    <row r="58" spans="2:28" ht="15" customHeight="1">
      <c r="B58" s="989">
        <f t="shared" si="2"/>
        <v>44440</v>
      </c>
      <c r="C58" s="990"/>
      <c r="D58" s="991" cm="1">
        <f t="array" aca="1" ref="D58" ca="1">DSUM(MercadoBase1,D$53,INDIRECT("r"&amp;5+2*(ROW()-54)&amp;":r"&amp;6+2*(ROW()-54)))</f>
        <v>0</v>
      </c>
      <c r="E58" s="991" cm="1">
        <f t="array" aca="1" ref="E58" ca="1">DSUM(MercadoBase1,E$53,INDIRECT("r"&amp;5+2*(ROW()-54)&amp;":r"&amp;6+2*(ROW()-54)))</f>
        <v>0</v>
      </c>
      <c r="F58" s="991" cm="1">
        <f t="array" aca="1" ref="F58" ca="1">DSUM(MercadoBase1,F$53,INDIRECT("r"&amp;5+2*(ROW()-54)&amp;":r"&amp;6+2*(ROW()-54)))</f>
        <v>0</v>
      </c>
      <c r="G58" s="991" cm="1">
        <f t="array" aca="1" ref="G58" ca="1">DSUM(MercadoBase1,G$53,INDIRECT("r"&amp;5+2*(ROW()-54)&amp;":r"&amp;6+2*(ROW()-54)))</f>
        <v>6557.0707819001263</v>
      </c>
      <c r="H58" s="991" cm="1">
        <f t="array" aca="1" ref="H58" ca="1">DSUM(MercadoBase1,H$53,INDIRECT("r"&amp;5+2*(ROW()-54)&amp;":r"&amp;6+2*(ROW()-54)))</f>
        <v>15961.699467001356</v>
      </c>
      <c r="I58" s="991" cm="1">
        <f t="array" aca="1" ref="I58" ca="1">DSUM(MercadoBase1,I$53,INDIRECT("r"&amp;5+2*(ROW()-54)&amp;":r"&amp;6+2*(ROW()-54)))</f>
        <v>1392.5278767076543</v>
      </c>
      <c r="J58" s="991" cm="1">
        <f t="array" aca="1" ref="J58" ca="1">DSUM(MercadoBase1,J$53,INDIRECT("r"&amp;5+2*(ROW()-54)&amp;":r"&amp;6+2*(ROW()-54)))</f>
        <v>0</v>
      </c>
      <c r="K58" s="991" cm="1">
        <f t="array" aca="1" ref="K58" ca="1">DSUM(MercadoBase1,K$53,INDIRECT("r"&amp;5+2*(ROW()-54)&amp;":r"&amp;6+2*(ROW()-54)))</f>
        <v>0</v>
      </c>
      <c r="L58" s="991" cm="1">
        <f t="array" aca="1" ref="L58" ca="1">DSUM(MercadoBase1,L$53,INDIRECT("r"&amp;5+2*(ROW()-54)&amp;":r"&amp;6+2*(ROW()-54)))</f>
        <v>0</v>
      </c>
      <c r="M58" s="991" cm="1">
        <f t="array" aca="1" ref="M58" ca="1">DSUM(MercadoBase1,M$53,INDIRECT("r"&amp;5+2*(ROW()-54)&amp;":r"&amp;6+2*(ROW()-54)))</f>
        <v>0</v>
      </c>
      <c r="N58" s="991" cm="1">
        <f t="array" aca="1" ref="N58" ca="1">DSUM(MercadoBase1,N$53,INDIRECT("r"&amp;5+2*(ROW()-54)&amp;":r"&amp;6+2*(ROW()-54)))</f>
        <v>0</v>
      </c>
      <c r="O58" s="991" cm="1">
        <f t="array" aca="1" ref="O58" ca="1">DSUM(MercadoBase1,O$53,INDIRECT("r"&amp;5+2*(ROW()-54)&amp;":r"&amp;6+2*(ROW()-54)))</f>
        <v>0</v>
      </c>
      <c r="P58" s="991" cm="1">
        <f t="array" aca="1" ref="P58" ca="1">DSUM(MercadoBase1,P$53,INDIRECT("r"&amp;5+2*(ROW()-54)&amp;":r"&amp;6+2*(ROW()-54)))</f>
        <v>0</v>
      </c>
      <c r="Q58" s="999" cm="1">
        <f t="array" aca="1" ref="Q58" ca="1">DSUM(MercadoBase1,Q$53,INDIRECT("r"&amp;5+2*(ROW()-54)&amp;":r"&amp;6+2*(ROW()-54)))</f>
        <v>0</v>
      </c>
      <c r="R58" s="992">
        <f>VLOOKUP(CAPA!$C$17,Índices!B:F,5,FALSE)/VLOOKUP(DATE(YEAR(B58),MONTH(B58),1),Índices!B:F,5,FALSE)</f>
        <v>1.0520224302058701</v>
      </c>
      <c r="S58" s="1001" cm="1">
        <f t="array" aca="1" ref="S58" ca="1">DSUM(MercadoBase1,S$53,INDIRECT("r"&amp;5+2*(ROW()-54)&amp;":r"&amp;6+2*(ROW()-54)))</f>
        <v>0</v>
      </c>
      <c r="T58" s="991" cm="1">
        <f t="array" aca="1" ref="T58" ca="1">DSUM(MercadoBase1,T$53,INDIRECT("r"&amp;5+2*(ROW()-54)&amp;":r"&amp;6+2*(ROW()-54)))</f>
        <v>0</v>
      </c>
      <c r="U58" s="991" cm="1">
        <f t="array" aca="1" ref="U58" ca="1">DSUM(MercadoBase1,U$53,INDIRECT("r"&amp;5+2*(ROW()-54)&amp;":r"&amp;6+2*(ROW()-54)))</f>
        <v>0</v>
      </c>
      <c r="V58" s="991" cm="1">
        <f t="array" aca="1" ref="V58" ca="1">DSUM(MercadoBase1,V$53,INDIRECT("r"&amp;5+2*(ROW()-54)&amp;":r"&amp;6+2*(ROW()-54)))</f>
        <v>0</v>
      </c>
      <c r="W58" s="991" cm="1">
        <f t="array" aca="1" ref="W58" ca="1">DSUM(MercadoBase1,W$53,INDIRECT("r"&amp;5+2*(ROW()-54)&amp;":r"&amp;6+2*(ROW()-54)))</f>
        <v>0</v>
      </c>
      <c r="X58" s="991" cm="1">
        <f t="array" aca="1" ref="X58" ca="1">DSUM(MercadoBase1,X$53,INDIRECT("r"&amp;5+2*(ROW()-54)&amp;":r"&amp;6+2*(ROW()-54)))</f>
        <v>0</v>
      </c>
      <c r="Y58" s="991" cm="1">
        <f t="array" aca="1" ref="Y58" ca="1">DSUM(MercadoBase1,Y$53,INDIRECT("r"&amp;5+2*(ROW()-54)&amp;":r"&amp;6+2*(ROW()-54)))</f>
        <v>0</v>
      </c>
      <c r="Z58" s="991" cm="1">
        <f t="array" aca="1" ref="Z58" ca="1">DSUM(MercadoBase1,Z$53,INDIRECT("r"&amp;5+2*(ROW()-54)&amp;":r"&amp;6+2*(ROW()-54)))</f>
        <v>330931.66897352849</v>
      </c>
      <c r="AA58" s="991" cm="1">
        <f t="array" aca="1" ref="AA58" ca="1">DSUM(MercadoBase1,AA$53,INDIRECT("r"&amp;5+2*(ROW()-54)&amp;":r"&amp;6+2*(ROW()-54)))</f>
        <v>0</v>
      </c>
      <c r="AB58" s="991" cm="1">
        <f t="array" aca="1" ref="AB58" ca="1">DSUM(MercadoBase1,AB$53,INDIRECT("r"&amp;5+2*(ROW()-54)&amp;":r"&amp;6+2*(ROW()-54)))</f>
        <v>0</v>
      </c>
    </row>
    <row r="59" spans="2:28" ht="15" customHeight="1">
      <c r="B59" s="989">
        <f t="shared" si="2"/>
        <v>44470</v>
      </c>
      <c r="C59" s="990"/>
      <c r="D59" s="991" cm="1">
        <f t="array" aca="1" ref="D59" ca="1">DSUM(MercadoBase1,D$53,INDIRECT("r"&amp;5+2*(ROW()-54)&amp;":r"&amp;6+2*(ROW()-54)))</f>
        <v>0</v>
      </c>
      <c r="E59" s="991" cm="1">
        <f t="array" aca="1" ref="E59" ca="1">DSUM(MercadoBase1,E$53,INDIRECT("r"&amp;5+2*(ROW()-54)&amp;":r"&amp;6+2*(ROW()-54)))</f>
        <v>0</v>
      </c>
      <c r="F59" s="991" cm="1">
        <f t="array" aca="1" ref="F59" ca="1">DSUM(MercadoBase1,F$53,INDIRECT("r"&amp;5+2*(ROW()-54)&amp;":r"&amp;6+2*(ROW()-54)))</f>
        <v>0</v>
      </c>
      <c r="G59" s="991" cm="1">
        <f t="array" aca="1" ref="G59" ca="1">DSUM(MercadoBase1,G$53,INDIRECT("r"&amp;5+2*(ROW()-54)&amp;":r"&amp;6+2*(ROW()-54)))</f>
        <v>6659.4438385569056</v>
      </c>
      <c r="H59" s="991" cm="1">
        <f t="array" aca="1" ref="H59" ca="1">DSUM(MercadoBase1,H$53,INDIRECT("r"&amp;5+2*(ROW()-54)&amp;":r"&amp;6+2*(ROW()-54)))</f>
        <v>16220.980325493225</v>
      </c>
      <c r="I59" s="991" cm="1">
        <f t="array" aca="1" ref="I59" ca="1">DSUM(MercadoBase1,I$53,INDIRECT("r"&amp;5+2*(ROW()-54)&amp;":r"&amp;6+2*(ROW()-54)))</f>
        <v>1418.1788732293203</v>
      </c>
      <c r="J59" s="991" cm="1">
        <f t="array" aca="1" ref="J59" ca="1">DSUM(MercadoBase1,J$53,INDIRECT("r"&amp;5+2*(ROW()-54)&amp;":r"&amp;6+2*(ROW()-54)))</f>
        <v>0</v>
      </c>
      <c r="K59" s="991" cm="1">
        <f t="array" aca="1" ref="K59" ca="1">DSUM(MercadoBase1,K$53,INDIRECT("r"&amp;5+2*(ROW()-54)&amp;":r"&amp;6+2*(ROW()-54)))</f>
        <v>0</v>
      </c>
      <c r="L59" s="991" cm="1">
        <f t="array" aca="1" ref="L59" ca="1">DSUM(MercadoBase1,L$53,INDIRECT("r"&amp;5+2*(ROW()-54)&amp;":r"&amp;6+2*(ROW()-54)))</f>
        <v>0</v>
      </c>
      <c r="M59" s="991" cm="1">
        <f t="array" aca="1" ref="M59" ca="1">DSUM(MercadoBase1,M$53,INDIRECT("r"&amp;5+2*(ROW()-54)&amp;":r"&amp;6+2*(ROW()-54)))</f>
        <v>0</v>
      </c>
      <c r="N59" s="991" cm="1">
        <f t="array" aca="1" ref="N59" ca="1">DSUM(MercadoBase1,N$53,INDIRECT("r"&amp;5+2*(ROW()-54)&amp;":r"&amp;6+2*(ROW()-54)))</f>
        <v>0</v>
      </c>
      <c r="O59" s="991" cm="1">
        <f t="array" aca="1" ref="O59" ca="1">DSUM(MercadoBase1,O$53,INDIRECT("r"&amp;5+2*(ROW()-54)&amp;":r"&amp;6+2*(ROW()-54)))</f>
        <v>0</v>
      </c>
      <c r="P59" s="991" cm="1">
        <f t="array" aca="1" ref="P59" ca="1">DSUM(MercadoBase1,P$53,INDIRECT("r"&amp;5+2*(ROW()-54)&amp;":r"&amp;6+2*(ROW()-54)))</f>
        <v>0</v>
      </c>
      <c r="Q59" s="999" cm="1">
        <f t="array" aca="1" ref="Q59" ca="1">DSUM(MercadoBase1,Q$53,INDIRECT("r"&amp;5+2*(ROW()-54)&amp;":r"&amp;6+2*(ROW()-54)))</f>
        <v>0</v>
      </c>
      <c r="R59" s="992">
        <f>VLOOKUP(CAPA!$C$17,Índices!B:F,5,FALSE)/VLOOKUP(DATE(YEAR(B59),MONTH(B59),1),Índices!B:F,5,FALSE)</f>
        <v>1.0469343699718971</v>
      </c>
      <c r="S59" s="1001" cm="1">
        <f t="array" aca="1" ref="S59" ca="1">DSUM(MercadoBase1,S$53,INDIRECT("r"&amp;5+2*(ROW()-54)&amp;":r"&amp;6+2*(ROW()-54)))</f>
        <v>0</v>
      </c>
      <c r="T59" s="991" cm="1">
        <f t="array" aca="1" ref="T59" ca="1">DSUM(MercadoBase1,T$53,INDIRECT("r"&amp;5+2*(ROW()-54)&amp;":r"&amp;6+2*(ROW()-54)))</f>
        <v>0</v>
      </c>
      <c r="U59" s="991" cm="1">
        <f t="array" aca="1" ref="U59" ca="1">DSUM(MercadoBase1,U$53,INDIRECT("r"&amp;5+2*(ROW()-54)&amp;":r"&amp;6+2*(ROW()-54)))</f>
        <v>0</v>
      </c>
      <c r="V59" s="991" cm="1">
        <f t="array" aca="1" ref="V59" ca="1">DSUM(MercadoBase1,V$53,INDIRECT("r"&amp;5+2*(ROW()-54)&amp;":r"&amp;6+2*(ROW()-54)))</f>
        <v>0</v>
      </c>
      <c r="W59" s="991" cm="1">
        <f t="array" aca="1" ref="W59" ca="1">DSUM(MercadoBase1,W$53,INDIRECT("r"&amp;5+2*(ROW()-54)&amp;":r"&amp;6+2*(ROW()-54)))</f>
        <v>0</v>
      </c>
      <c r="X59" s="991" cm="1">
        <f t="array" aca="1" ref="X59" ca="1">DSUM(MercadoBase1,X$53,INDIRECT("r"&amp;5+2*(ROW()-54)&amp;":r"&amp;6+2*(ROW()-54)))</f>
        <v>0</v>
      </c>
      <c r="Y59" s="991" cm="1">
        <f t="array" aca="1" ref="Y59" ca="1">DSUM(MercadoBase1,Y$53,INDIRECT("r"&amp;5+2*(ROW()-54)&amp;":r"&amp;6+2*(ROW()-54)))</f>
        <v>0</v>
      </c>
      <c r="Z59" s="991" cm="1">
        <f t="array" aca="1" ref="Z59" ca="1">DSUM(MercadoBase1,Z$53,INDIRECT("r"&amp;5+2*(ROW()-54)&amp;":r"&amp;6+2*(ROW()-54)))</f>
        <v>337135.88648018643</v>
      </c>
      <c r="AA59" s="991" cm="1">
        <f t="array" aca="1" ref="AA59" ca="1">DSUM(MercadoBase1,AA$53,INDIRECT("r"&amp;5+2*(ROW()-54)&amp;":r"&amp;6+2*(ROW()-54)))</f>
        <v>0</v>
      </c>
      <c r="AB59" s="991" cm="1">
        <f t="array" aca="1" ref="AB59" ca="1">DSUM(MercadoBase1,AB$53,INDIRECT("r"&amp;5+2*(ROW()-54)&amp;":r"&amp;6+2*(ROW()-54)))</f>
        <v>0</v>
      </c>
    </row>
    <row r="60" spans="2:28" ht="15" customHeight="1">
      <c r="B60" s="989">
        <f t="shared" si="2"/>
        <v>44501</v>
      </c>
      <c r="C60" s="990"/>
      <c r="D60" s="991" cm="1">
        <f t="array" aca="1" ref="D60" ca="1">DSUM(MercadoBase1,D$53,INDIRECT("r"&amp;5+2*(ROW()-54)&amp;":r"&amp;6+2*(ROW()-54)))</f>
        <v>0</v>
      </c>
      <c r="E60" s="991" cm="1">
        <f t="array" aca="1" ref="E60" ca="1">DSUM(MercadoBase1,E$53,INDIRECT("r"&amp;5+2*(ROW()-54)&amp;":r"&amp;6+2*(ROW()-54)))</f>
        <v>0</v>
      </c>
      <c r="F60" s="991" cm="1">
        <f t="array" aca="1" ref="F60" ca="1">DSUM(MercadoBase1,F$53,INDIRECT("r"&amp;5+2*(ROW()-54)&amp;":r"&amp;6+2*(ROW()-54)))</f>
        <v>0</v>
      </c>
      <c r="G60" s="991" cm="1">
        <f t="array" aca="1" ref="G60" ca="1">DSUM(MercadoBase1,G$53,INDIRECT("r"&amp;5+2*(ROW()-54)&amp;":r"&amp;6+2*(ROW()-54)))</f>
        <v>7670.3551563666433</v>
      </c>
      <c r="H60" s="991" cm="1">
        <f t="array" aca="1" ref="H60" ca="1">DSUM(MercadoBase1,H$53,INDIRECT("r"&amp;5+2*(ROW()-54)&amp;":r"&amp;6+2*(ROW()-54)))</f>
        <v>18688.45282509788</v>
      </c>
      <c r="I60" s="991" cm="1">
        <f t="array" aca="1" ref="I60" ca="1">DSUM(MercadoBase1,I$53,INDIRECT("r"&amp;5+2*(ROW()-54)&amp;":r"&amp;6+2*(ROW()-54)))</f>
        <v>1655.0821025656901</v>
      </c>
      <c r="J60" s="991" cm="1">
        <f t="array" aca="1" ref="J60" ca="1">DSUM(MercadoBase1,J$53,INDIRECT("r"&amp;5+2*(ROW()-54)&amp;":r"&amp;6+2*(ROW()-54)))</f>
        <v>0</v>
      </c>
      <c r="K60" s="991" cm="1">
        <f t="array" aca="1" ref="K60" ca="1">DSUM(MercadoBase1,K$53,INDIRECT("r"&amp;5+2*(ROW()-54)&amp;":r"&amp;6+2*(ROW()-54)))</f>
        <v>0</v>
      </c>
      <c r="L60" s="991" cm="1">
        <f t="array" aca="1" ref="L60" ca="1">DSUM(MercadoBase1,L$53,INDIRECT("r"&amp;5+2*(ROW()-54)&amp;":r"&amp;6+2*(ROW()-54)))</f>
        <v>0</v>
      </c>
      <c r="M60" s="991" cm="1">
        <f t="array" aca="1" ref="M60" ca="1">DSUM(MercadoBase1,M$53,INDIRECT("r"&amp;5+2*(ROW()-54)&amp;":r"&amp;6+2*(ROW()-54)))</f>
        <v>0</v>
      </c>
      <c r="N60" s="991" cm="1">
        <f t="array" aca="1" ref="N60" ca="1">DSUM(MercadoBase1,N$53,INDIRECT("r"&amp;5+2*(ROW()-54)&amp;":r"&amp;6+2*(ROW()-54)))</f>
        <v>0</v>
      </c>
      <c r="O60" s="991" cm="1">
        <f t="array" aca="1" ref="O60" ca="1">DSUM(MercadoBase1,O$53,INDIRECT("r"&amp;5+2*(ROW()-54)&amp;":r"&amp;6+2*(ROW()-54)))</f>
        <v>0</v>
      </c>
      <c r="P60" s="991" cm="1">
        <f t="array" aca="1" ref="P60" ca="1">DSUM(MercadoBase1,P$53,INDIRECT("r"&amp;5+2*(ROW()-54)&amp;":r"&amp;6+2*(ROW()-54)))</f>
        <v>0</v>
      </c>
      <c r="Q60" s="999" cm="1">
        <f t="array" aca="1" ref="Q60" ca="1">DSUM(MercadoBase1,Q$53,INDIRECT("r"&amp;5+2*(ROW()-54)&amp;":r"&amp;6+2*(ROW()-54)))</f>
        <v>0</v>
      </c>
      <c r="R60" s="992">
        <f>VLOOKUP(CAPA!$C$17,Índices!B:F,5,FALSE)/VLOOKUP(DATE(YEAR(B60),MONTH(B60),1),Índices!B:F,5,FALSE)</f>
        <v>1.0408273250729632</v>
      </c>
      <c r="S60" s="1001" cm="1">
        <f t="array" aca="1" ref="S60" ca="1">DSUM(MercadoBase1,S$53,INDIRECT("r"&amp;5+2*(ROW()-54)&amp;":r"&amp;6+2*(ROW()-54)))</f>
        <v>0</v>
      </c>
      <c r="T60" s="991" cm="1">
        <f t="array" aca="1" ref="T60" ca="1">DSUM(MercadoBase1,T$53,INDIRECT("r"&amp;5+2*(ROW()-54)&amp;":r"&amp;6+2*(ROW()-54)))</f>
        <v>0</v>
      </c>
      <c r="U60" s="991" cm="1">
        <f t="array" aca="1" ref="U60" ca="1">DSUM(MercadoBase1,U$53,INDIRECT("r"&amp;5+2*(ROW()-54)&amp;":r"&amp;6+2*(ROW()-54)))</f>
        <v>0</v>
      </c>
      <c r="V60" s="991" cm="1">
        <f t="array" aca="1" ref="V60" ca="1">DSUM(MercadoBase1,V$53,INDIRECT("r"&amp;5+2*(ROW()-54)&amp;":r"&amp;6+2*(ROW()-54)))</f>
        <v>0</v>
      </c>
      <c r="W60" s="991" cm="1">
        <f t="array" aca="1" ref="W60" ca="1">DSUM(MercadoBase1,W$53,INDIRECT("r"&amp;5+2*(ROW()-54)&amp;":r"&amp;6+2*(ROW()-54)))</f>
        <v>0</v>
      </c>
      <c r="X60" s="991" cm="1">
        <f t="array" aca="1" ref="X60" ca="1">DSUM(MercadoBase1,X$53,INDIRECT("r"&amp;5+2*(ROW()-54)&amp;":r"&amp;6+2*(ROW()-54)))</f>
        <v>0</v>
      </c>
      <c r="Y60" s="991" cm="1">
        <f t="array" aca="1" ref="Y60" ca="1">DSUM(MercadoBase1,Y$53,INDIRECT("r"&amp;5+2*(ROW()-54)&amp;":r"&amp;6+2*(ROW()-54)))</f>
        <v>0</v>
      </c>
      <c r="Z60" s="991" cm="1">
        <f t="array" aca="1" ref="Z60" ca="1">DSUM(MercadoBase1,Z$53,INDIRECT("r"&amp;5+2*(ROW()-54)&amp;":r"&amp;6+2*(ROW()-54)))</f>
        <v>393337.21987872315</v>
      </c>
      <c r="AA60" s="991" cm="1">
        <f t="array" aca="1" ref="AA60" ca="1">DSUM(MercadoBase1,AA$53,INDIRECT("r"&amp;5+2*(ROW()-54)&amp;":r"&amp;6+2*(ROW()-54)))</f>
        <v>0</v>
      </c>
      <c r="AB60" s="991" cm="1">
        <f t="array" aca="1" ref="AB60" ca="1">DSUM(MercadoBase1,AB$53,INDIRECT("r"&amp;5+2*(ROW()-54)&amp;":r"&amp;6+2*(ROW()-54)))</f>
        <v>0</v>
      </c>
    </row>
    <row r="61" spans="2:28" ht="15" customHeight="1">
      <c r="B61" s="989">
        <f t="shared" si="2"/>
        <v>44531</v>
      </c>
      <c r="C61" s="990"/>
      <c r="D61" s="991" cm="1">
        <f t="array" aca="1" ref="D61" ca="1">DSUM(MercadoBase1,D$53,INDIRECT("r"&amp;5+2*(ROW()-54)&amp;":r"&amp;6+2*(ROW()-54)))</f>
        <v>0</v>
      </c>
      <c r="E61" s="991" cm="1">
        <f t="array" aca="1" ref="E61" ca="1">DSUM(MercadoBase1,E$53,INDIRECT("r"&amp;5+2*(ROW()-54)&amp;":r"&amp;6+2*(ROW()-54)))</f>
        <v>0</v>
      </c>
      <c r="F61" s="991" cm="1">
        <f t="array" aca="1" ref="F61" ca="1">DSUM(MercadoBase1,F$53,INDIRECT("r"&amp;5+2*(ROW()-54)&amp;":r"&amp;6+2*(ROW()-54)))</f>
        <v>0</v>
      </c>
      <c r="G61" s="991" cm="1">
        <f t="array" aca="1" ref="G61" ca="1">DSUM(MercadoBase1,G$53,INDIRECT("r"&amp;5+2*(ROW()-54)&amp;":r"&amp;6+2*(ROW()-54)))</f>
        <v>7276.9081977891874</v>
      </c>
      <c r="H61" s="991" cm="1">
        <f t="array" aca="1" ref="H61" ca="1">DSUM(MercadoBase1,H$53,INDIRECT("r"&amp;5+2*(ROW()-54)&amp;":r"&amp;6+2*(ROW()-54)))</f>
        <v>17719.970463718164</v>
      </c>
      <c r="I61" s="991" cm="1">
        <f t="array" aca="1" ref="I61" ca="1">DSUM(MercadoBase1,I$53,INDIRECT("r"&amp;5+2*(ROW()-54)&amp;":r"&amp;6+2*(ROW()-54)))</f>
        <v>1567.8437551333082</v>
      </c>
      <c r="J61" s="991" cm="1">
        <f t="array" aca="1" ref="J61" ca="1">DSUM(MercadoBase1,J$53,INDIRECT("r"&amp;5+2*(ROW()-54)&amp;":r"&amp;6+2*(ROW()-54)))</f>
        <v>0</v>
      </c>
      <c r="K61" s="991" cm="1">
        <f t="array" aca="1" ref="K61" ca="1">DSUM(MercadoBase1,K$53,INDIRECT("r"&amp;5+2*(ROW()-54)&amp;":r"&amp;6+2*(ROW()-54)))</f>
        <v>0</v>
      </c>
      <c r="L61" s="991" cm="1">
        <f t="array" aca="1" ref="L61" ca="1">DSUM(MercadoBase1,L$53,INDIRECT("r"&amp;5+2*(ROW()-54)&amp;":r"&amp;6+2*(ROW()-54)))</f>
        <v>0</v>
      </c>
      <c r="M61" s="991" cm="1">
        <f t="array" aca="1" ref="M61" ca="1">DSUM(MercadoBase1,M$53,INDIRECT("r"&amp;5+2*(ROW()-54)&amp;":r"&amp;6+2*(ROW()-54)))</f>
        <v>0</v>
      </c>
      <c r="N61" s="991" cm="1">
        <f t="array" aca="1" ref="N61" ca="1">DSUM(MercadoBase1,N$53,INDIRECT("r"&amp;5+2*(ROW()-54)&amp;":r"&amp;6+2*(ROW()-54)))</f>
        <v>0</v>
      </c>
      <c r="O61" s="991" cm="1">
        <f t="array" aca="1" ref="O61" ca="1">DSUM(MercadoBase1,O$53,INDIRECT("r"&amp;5+2*(ROW()-54)&amp;":r"&amp;6+2*(ROW()-54)))</f>
        <v>0</v>
      </c>
      <c r="P61" s="991" cm="1">
        <f t="array" aca="1" ref="P61" ca="1">DSUM(MercadoBase1,P$53,INDIRECT("r"&amp;5+2*(ROW()-54)&amp;":r"&amp;6+2*(ROW()-54)))</f>
        <v>0</v>
      </c>
      <c r="Q61" s="999" cm="1">
        <f t="array" aca="1" ref="Q61" ca="1">DSUM(MercadoBase1,Q$53,INDIRECT("r"&amp;5+2*(ROW()-54)&amp;":r"&amp;6+2*(ROW()-54)))</f>
        <v>0</v>
      </c>
      <c r="R61" s="992">
        <f>VLOOKUP(CAPA!$C$17,Índices!B:F,5,FALSE)/VLOOKUP(DATE(YEAR(B61),MONTH(B61),1),Índices!B:F,5,FALSE)</f>
        <v>1.0328835921106971</v>
      </c>
      <c r="S61" s="1001" cm="1">
        <f t="array" aca="1" ref="S61" ca="1">DSUM(MercadoBase1,S$53,INDIRECT("r"&amp;5+2*(ROW()-54)&amp;":r"&amp;6+2*(ROW()-54)))</f>
        <v>0</v>
      </c>
      <c r="T61" s="991" cm="1">
        <f t="array" aca="1" ref="T61" ca="1">DSUM(MercadoBase1,T$53,INDIRECT("r"&amp;5+2*(ROW()-54)&amp;":r"&amp;6+2*(ROW()-54)))</f>
        <v>0</v>
      </c>
      <c r="U61" s="991" cm="1">
        <f t="array" aca="1" ref="U61" ca="1">DSUM(MercadoBase1,U$53,INDIRECT("r"&amp;5+2*(ROW()-54)&amp;":r"&amp;6+2*(ROW()-54)))</f>
        <v>0</v>
      </c>
      <c r="V61" s="991" cm="1">
        <f t="array" aca="1" ref="V61" ca="1">DSUM(MercadoBase1,V$53,INDIRECT("r"&amp;5+2*(ROW()-54)&amp;":r"&amp;6+2*(ROW()-54)))</f>
        <v>0</v>
      </c>
      <c r="W61" s="991" cm="1">
        <f t="array" aca="1" ref="W61" ca="1">DSUM(MercadoBase1,W$53,INDIRECT("r"&amp;5+2*(ROW()-54)&amp;":r"&amp;6+2*(ROW()-54)))</f>
        <v>0</v>
      </c>
      <c r="X61" s="991" cm="1">
        <f t="array" aca="1" ref="X61" ca="1">DSUM(MercadoBase1,X$53,INDIRECT("r"&amp;5+2*(ROW()-54)&amp;":r"&amp;6+2*(ROW()-54)))</f>
        <v>0</v>
      </c>
      <c r="Y61" s="991" cm="1">
        <f t="array" aca="1" ref="Y61" ca="1">DSUM(MercadoBase1,Y$53,INDIRECT("r"&amp;5+2*(ROW()-54)&amp;":r"&amp;6+2*(ROW()-54)))</f>
        <v>0</v>
      </c>
      <c r="Z61" s="991" cm="1">
        <f t="array" aca="1" ref="Z61" ca="1">DSUM(MercadoBase1,Z$53,INDIRECT("r"&amp;5+2*(ROW()-54)&amp;":r"&amp;6+2*(ROW()-54)))</f>
        <v>372268.09034301853</v>
      </c>
      <c r="AA61" s="991" cm="1">
        <f t="array" aca="1" ref="AA61" ca="1">DSUM(MercadoBase1,AA$53,INDIRECT("r"&amp;5+2*(ROW()-54)&amp;":r"&amp;6+2*(ROW()-54)))</f>
        <v>0</v>
      </c>
      <c r="AB61" s="991" cm="1">
        <f t="array" aca="1" ref="AB61" ca="1">DSUM(MercadoBase1,AB$53,INDIRECT("r"&amp;5+2*(ROW()-54)&amp;":r"&amp;6+2*(ROW()-54)))</f>
        <v>0</v>
      </c>
    </row>
    <row r="62" spans="2:28" ht="15" customHeight="1">
      <c r="B62" s="989">
        <f t="shared" si="2"/>
        <v>44562</v>
      </c>
      <c r="C62" s="990"/>
      <c r="D62" s="991" cm="1">
        <f t="array" aca="1" ref="D62" ca="1">DSUM(MercadoBase1,D$53,INDIRECT("r"&amp;5+2*(ROW()-54)&amp;":r"&amp;6+2*(ROW()-54)))</f>
        <v>0</v>
      </c>
      <c r="E62" s="991" cm="1">
        <f t="array" aca="1" ref="E62" ca="1">DSUM(MercadoBase1,E$53,INDIRECT("r"&amp;5+2*(ROW()-54)&amp;":r"&amp;6+2*(ROW()-54)))</f>
        <v>0</v>
      </c>
      <c r="F62" s="991" cm="1">
        <f t="array" aca="1" ref="F62" ca="1">DSUM(MercadoBase1,F$53,INDIRECT("r"&amp;5+2*(ROW()-54)&amp;":r"&amp;6+2*(ROW()-54)))</f>
        <v>0</v>
      </c>
      <c r="G62" s="991" cm="1">
        <f t="array" aca="1" ref="G62" ca="1">DSUM(MercadoBase1,G$53,INDIRECT("r"&amp;5+2*(ROW()-54)&amp;":r"&amp;6+2*(ROW()-54)))</f>
        <v>7033.4134834311581</v>
      </c>
      <c r="H62" s="991" cm="1">
        <f t="array" aca="1" ref="H62" ca="1">DSUM(MercadoBase1,H$53,INDIRECT("r"&amp;5+2*(ROW()-54)&amp;":r"&amp;6+2*(ROW()-54)))</f>
        <v>17150.673824530644</v>
      </c>
      <c r="I62" s="991" cm="1">
        <f t="array" aca="1" ref="I62" ca="1">DSUM(MercadoBase1,I$53,INDIRECT("r"&amp;5+2*(ROW()-54)&amp;":r"&amp;6+2*(ROW()-54)))</f>
        <v>1526.4915455425501</v>
      </c>
      <c r="J62" s="991" cm="1">
        <f t="array" aca="1" ref="J62" ca="1">DSUM(MercadoBase1,J$53,INDIRECT("r"&amp;5+2*(ROW()-54)&amp;":r"&amp;6+2*(ROW()-54)))</f>
        <v>0</v>
      </c>
      <c r="K62" s="991" cm="1">
        <f t="array" aca="1" ref="K62" ca="1">DSUM(MercadoBase1,K$53,INDIRECT("r"&amp;5+2*(ROW()-54)&amp;":r"&amp;6+2*(ROW()-54)))</f>
        <v>0</v>
      </c>
      <c r="L62" s="991" cm="1">
        <f t="array" aca="1" ref="L62" ca="1">DSUM(MercadoBase1,L$53,INDIRECT("r"&amp;5+2*(ROW()-54)&amp;":r"&amp;6+2*(ROW()-54)))</f>
        <v>0</v>
      </c>
      <c r="M62" s="991" cm="1">
        <f t="array" aca="1" ref="M62" ca="1">DSUM(MercadoBase1,M$53,INDIRECT("r"&amp;5+2*(ROW()-54)&amp;":r"&amp;6+2*(ROW()-54)))</f>
        <v>0</v>
      </c>
      <c r="N62" s="991" cm="1">
        <f t="array" aca="1" ref="N62" ca="1">DSUM(MercadoBase1,N$53,INDIRECT("r"&amp;5+2*(ROW()-54)&amp;":r"&amp;6+2*(ROW()-54)))</f>
        <v>0</v>
      </c>
      <c r="O62" s="991" cm="1">
        <f t="array" aca="1" ref="O62" ca="1">DSUM(MercadoBase1,O$53,INDIRECT("r"&amp;5+2*(ROW()-54)&amp;":r"&amp;6+2*(ROW()-54)))</f>
        <v>0</v>
      </c>
      <c r="P62" s="991" cm="1">
        <f t="array" aca="1" ref="P62" ca="1">DSUM(MercadoBase1,P$53,INDIRECT("r"&amp;5+2*(ROW()-54)&amp;":r"&amp;6+2*(ROW()-54)))</f>
        <v>0</v>
      </c>
      <c r="Q62" s="999" cm="1">
        <f t="array" aca="1" ref="Q62" ca="1">DSUM(MercadoBase1,Q$53,INDIRECT("r"&amp;5+2*(ROW()-54)&amp;":r"&amp;6+2*(ROW()-54)))</f>
        <v>0</v>
      </c>
      <c r="R62" s="992">
        <f>VLOOKUP(CAPA!$C$17,Índices!B:F,5,FALSE)/VLOOKUP(DATE(YEAR(B62),MONTH(B62),1),Índices!B:F,5,FALSE)</f>
        <v>1.0253750747225663</v>
      </c>
      <c r="S62" s="1001" cm="1">
        <f t="array" aca="1" ref="S62" ca="1">DSUM(MercadoBase1,S$53,INDIRECT("r"&amp;5+2*(ROW()-54)&amp;":r"&amp;6+2*(ROW()-54)))</f>
        <v>0</v>
      </c>
      <c r="T62" s="991" cm="1">
        <f t="array" aca="1" ref="T62" ca="1">DSUM(MercadoBase1,T$53,INDIRECT("r"&amp;5+2*(ROW()-54)&amp;":r"&amp;6+2*(ROW()-54)))</f>
        <v>0</v>
      </c>
      <c r="U62" s="991" cm="1">
        <f t="array" aca="1" ref="U62" ca="1">DSUM(MercadoBase1,U$53,INDIRECT("r"&amp;5+2*(ROW()-54)&amp;":r"&amp;6+2*(ROW()-54)))</f>
        <v>0</v>
      </c>
      <c r="V62" s="991" cm="1">
        <f t="array" aca="1" ref="V62" ca="1">DSUM(MercadoBase1,V$53,INDIRECT("r"&amp;5+2*(ROW()-54)&amp;":r"&amp;6+2*(ROW()-54)))</f>
        <v>0</v>
      </c>
      <c r="W62" s="991" cm="1">
        <f t="array" aca="1" ref="W62" ca="1">DSUM(MercadoBase1,W$53,INDIRECT("r"&amp;5+2*(ROW()-54)&amp;":r"&amp;6+2*(ROW()-54)))</f>
        <v>0</v>
      </c>
      <c r="X62" s="991" cm="1">
        <f t="array" aca="1" ref="X62" ca="1">DSUM(MercadoBase1,X$53,INDIRECT("r"&amp;5+2*(ROW()-54)&amp;":r"&amp;6+2*(ROW()-54)))</f>
        <v>0</v>
      </c>
      <c r="Y62" s="991" cm="1">
        <f t="array" aca="1" ref="Y62" ca="1">DSUM(MercadoBase1,Y$53,INDIRECT("r"&amp;5+2*(ROW()-54)&amp;":r"&amp;6+2*(ROW()-54)))</f>
        <v>0</v>
      </c>
      <c r="Z62" s="991" cm="1">
        <f t="array" aca="1" ref="Z62" ca="1">DSUM(MercadoBase1,Z$53,INDIRECT("r"&amp;5+2*(ROW()-54)&amp;":r"&amp;6+2*(ROW()-54)))</f>
        <v>363905.34372142015</v>
      </c>
      <c r="AA62" s="991" cm="1">
        <f t="array" aca="1" ref="AA62" ca="1">DSUM(MercadoBase1,AA$53,INDIRECT("r"&amp;5+2*(ROW()-54)&amp;":r"&amp;6+2*(ROW()-54)))</f>
        <v>0</v>
      </c>
      <c r="AB62" s="991" cm="1">
        <f t="array" aca="1" ref="AB62" ca="1">DSUM(MercadoBase1,AB$53,INDIRECT("r"&amp;5+2*(ROW()-54)&amp;":r"&amp;6+2*(ROW()-54)))</f>
        <v>0</v>
      </c>
    </row>
    <row r="63" spans="2:28" ht="15" customHeight="1">
      <c r="B63" s="989">
        <f t="shared" si="2"/>
        <v>44593</v>
      </c>
      <c r="C63" s="990"/>
      <c r="D63" s="991" cm="1">
        <f t="array" aca="1" ref="D63" ca="1">DSUM(MercadoBase1,D$53,INDIRECT("r"&amp;5+2*(ROW()-54)&amp;":r"&amp;6+2*(ROW()-54)))</f>
        <v>0</v>
      </c>
      <c r="E63" s="991" cm="1">
        <f t="array" aca="1" ref="E63" ca="1">DSUM(MercadoBase1,E$53,INDIRECT("r"&amp;5+2*(ROW()-54)&amp;":r"&amp;6+2*(ROW()-54)))</f>
        <v>0</v>
      </c>
      <c r="F63" s="991" cm="1">
        <f t="array" aca="1" ref="F63" ca="1">DSUM(MercadoBase1,F$53,INDIRECT("r"&amp;5+2*(ROW()-54)&amp;":r"&amp;6+2*(ROW()-54)))</f>
        <v>0</v>
      </c>
      <c r="G63" s="991" cm="1">
        <f t="array" aca="1" ref="G63" ca="1">DSUM(MercadoBase1,G$53,INDIRECT("r"&amp;5+2*(ROW()-54)&amp;":r"&amp;6+2*(ROW()-54)))</f>
        <v>6703.2958588775246</v>
      </c>
      <c r="H63" s="991" cm="1">
        <f t="array" aca="1" ref="H63" ca="1">DSUM(MercadoBase1,H$53,INDIRECT("r"&amp;5+2*(ROW()-54)&amp;":r"&amp;6+2*(ROW()-54)))</f>
        <v>16342.811573006253</v>
      </c>
      <c r="I63" s="991" cm="1">
        <f t="array" aca="1" ref="I63" ca="1">DSUM(MercadoBase1,I$53,INDIRECT("r"&amp;5+2*(ROW()-54)&amp;":r"&amp;6+2*(ROW()-54)))</f>
        <v>1503.1285307488997</v>
      </c>
      <c r="J63" s="991" cm="1">
        <f t="array" aca="1" ref="J63" ca="1">DSUM(MercadoBase1,J$53,INDIRECT("r"&amp;5+2*(ROW()-54)&amp;":r"&amp;6+2*(ROW()-54)))</f>
        <v>0</v>
      </c>
      <c r="K63" s="991" cm="1">
        <f t="array" aca="1" ref="K63" ca="1">DSUM(MercadoBase1,K$53,INDIRECT("r"&amp;5+2*(ROW()-54)&amp;":r"&amp;6+2*(ROW()-54)))</f>
        <v>0</v>
      </c>
      <c r="L63" s="991" cm="1">
        <f t="array" aca="1" ref="L63" ca="1">DSUM(MercadoBase1,L$53,INDIRECT("r"&amp;5+2*(ROW()-54)&amp;":r"&amp;6+2*(ROW()-54)))</f>
        <v>0</v>
      </c>
      <c r="M63" s="991" cm="1">
        <f t="array" aca="1" ref="M63" ca="1">DSUM(MercadoBase1,M$53,INDIRECT("r"&amp;5+2*(ROW()-54)&amp;":r"&amp;6+2*(ROW()-54)))</f>
        <v>0</v>
      </c>
      <c r="N63" s="991" cm="1">
        <f t="array" aca="1" ref="N63" ca="1">DSUM(MercadoBase1,N$53,INDIRECT("r"&amp;5+2*(ROW()-54)&amp;":r"&amp;6+2*(ROW()-54)))</f>
        <v>0</v>
      </c>
      <c r="O63" s="991" cm="1">
        <f t="array" aca="1" ref="O63" ca="1">DSUM(MercadoBase1,O$53,INDIRECT("r"&amp;5+2*(ROW()-54)&amp;":r"&amp;6+2*(ROW()-54)))</f>
        <v>0</v>
      </c>
      <c r="P63" s="991" cm="1">
        <f t="array" aca="1" ref="P63" ca="1">DSUM(MercadoBase1,P$53,INDIRECT("r"&amp;5+2*(ROW()-54)&amp;":r"&amp;6+2*(ROW()-54)))</f>
        <v>0</v>
      </c>
      <c r="Q63" s="999" cm="1">
        <f t="array" aca="1" ref="Q63" ca="1">DSUM(MercadoBase1,Q$53,INDIRECT("r"&amp;5+2*(ROW()-54)&amp;":r"&amp;6+2*(ROW()-54)))</f>
        <v>0</v>
      </c>
      <c r="R63" s="992">
        <f>VLOOKUP(CAPA!$C$17,Índices!B:F,5,FALSE)/VLOOKUP(DATE(YEAR(B63),MONTH(B63),1),Índices!B:F,5,FALSE)</f>
        <v>1.0176910898725859</v>
      </c>
      <c r="S63" s="1001" cm="1">
        <f t="array" aca="1" ref="S63" ca="1">DSUM(MercadoBase1,S$53,INDIRECT("r"&amp;5+2*(ROW()-54)&amp;":r"&amp;6+2*(ROW()-54)))</f>
        <v>0</v>
      </c>
      <c r="T63" s="991" cm="1">
        <f t="array" aca="1" ref="T63" ca="1">DSUM(MercadoBase1,T$53,INDIRECT("r"&amp;5+2*(ROW()-54)&amp;":r"&amp;6+2*(ROW()-54)))</f>
        <v>0</v>
      </c>
      <c r="U63" s="991" cm="1">
        <f t="array" aca="1" ref="U63" ca="1">DSUM(MercadoBase1,U$53,INDIRECT("r"&amp;5+2*(ROW()-54)&amp;":r"&amp;6+2*(ROW()-54)))</f>
        <v>0</v>
      </c>
      <c r="V63" s="991" cm="1">
        <f t="array" aca="1" ref="V63" ca="1">DSUM(MercadoBase1,V$53,INDIRECT("r"&amp;5+2*(ROW()-54)&amp;":r"&amp;6+2*(ROW()-54)))</f>
        <v>0</v>
      </c>
      <c r="W63" s="991" cm="1">
        <f t="array" aca="1" ref="W63" ca="1">DSUM(MercadoBase1,W$53,INDIRECT("r"&amp;5+2*(ROW()-54)&amp;":r"&amp;6+2*(ROW()-54)))</f>
        <v>0</v>
      </c>
      <c r="X63" s="991" cm="1">
        <f t="array" aca="1" ref="X63" ca="1">DSUM(MercadoBase1,X$53,INDIRECT("r"&amp;5+2*(ROW()-54)&amp;":r"&amp;6+2*(ROW()-54)))</f>
        <v>0</v>
      </c>
      <c r="Y63" s="991" cm="1">
        <f t="array" aca="1" ref="Y63" ca="1">DSUM(MercadoBase1,Y$53,INDIRECT("r"&amp;5+2*(ROW()-54)&amp;":r"&amp;6+2*(ROW()-54)))</f>
        <v>0</v>
      </c>
      <c r="Z63" s="991" cm="1">
        <f t="array" aca="1" ref="Z63" ca="1">DSUM(MercadoBase1,Z$53,INDIRECT("r"&amp;5+2*(ROW()-54)&amp;":r"&amp;6+2*(ROW()-54)))</f>
        <v>358026.94528087665</v>
      </c>
      <c r="AA63" s="991" cm="1">
        <f t="array" aca="1" ref="AA63" ca="1">DSUM(MercadoBase1,AA$53,INDIRECT("r"&amp;5+2*(ROW()-54)&amp;":r"&amp;6+2*(ROW()-54)))</f>
        <v>0</v>
      </c>
      <c r="AB63" s="991" cm="1">
        <f t="array" aca="1" ref="AB63" ca="1">DSUM(MercadoBase1,AB$53,INDIRECT("r"&amp;5+2*(ROW()-54)&amp;":r"&amp;6+2*(ROW()-54)))</f>
        <v>0</v>
      </c>
    </row>
    <row r="64" spans="2:28" ht="15" customHeight="1">
      <c r="B64" s="989">
        <f t="shared" si="2"/>
        <v>44621</v>
      </c>
      <c r="C64" s="990"/>
      <c r="D64" s="991" cm="1">
        <f t="array" aca="1" ref="D64" ca="1">DSUM(MercadoBase1,D$53,INDIRECT("r"&amp;5+2*(ROW()-54)&amp;":r"&amp;6+2*(ROW()-54)))</f>
        <v>0</v>
      </c>
      <c r="E64" s="991" cm="1">
        <f t="array" aca="1" ref="E64" ca="1">DSUM(MercadoBase1,E$53,INDIRECT("r"&amp;5+2*(ROW()-54)&amp;":r"&amp;6+2*(ROW()-54)))</f>
        <v>0</v>
      </c>
      <c r="F64" s="991" cm="1">
        <f t="array" aca="1" ref="F64" ca="1">DSUM(MercadoBase1,F$53,INDIRECT("r"&amp;5+2*(ROW()-54)&amp;":r"&amp;6+2*(ROW()-54)))</f>
        <v>0</v>
      </c>
      <c r="G64" s="991" cm="1">
        <f t="array" aca="1" ref="G64" ca="1">DSUM(MercadoBase1,G$53,INDIRECT("r"&amp;5+2*(ROW()-54)&amp;":r"&amp;6+2*(ROW()-54)))</f>
        <v>7141.9207007192254</v>
      </c>
      <c r="H64" s="991" cm="1">
        <f t="array" aca="1" ref="H64" ca="1">DSUM(MercadoBase1,H$53,INDIRECT("r"&amp;5+2*(ROW()-54)&amp;":r"&amp;6+2*(ROW()-54)))</f>
        <v>17403.464574430032</v>
      </c>
      <c r="I64" s="991" cm="1">
        <f t="array" aca="1" ref="I64" ca="1">DSUM(MercadoBase1,I$53,INDIRECT("r"&amp;5+2*(ROW()-54)&amp;":r"&amp;6+2*(ROW()-54)))</f>
        <v>1626.4368151622812</v>
      </c>
      <c r="J64" s="991" cm="1">
        <f t="array" aca="1" ref="J64" ca="1">DSUM(MercadoBase1,J$53,INDIRECT("r"&amp;5+2*(ROW()-54)&amp;":r"&amp;6+2*(ROW()-54)))</f>
        <v>0</v>
      </c>
      <c r="K64" s="991" cm="1">
        <f t="array" aca="1" ref="K64" ca="1">DSUM(MercadoBase1,K$53,INDIRECT("r"&amp;5+2*(ROW()-54)&amp;":r"&amp;6+2*(ROW()-54)))</f>
        <v>0</v>
      </c>
      <c r="L64" s="991" cm="1">
        <f t="array" aca="1" ref="L64" ca="1">DSUM(MercadoBase1,L$53,INDIRECT("r"&amp;5+2*(ROW()-54)&amp;":r"&amp;6+2*(ROW()-54)))</f>
        <v>0</v>
      </c>
      <c r="M64" s="991" cm="1">
        <f t="array" aca="1" ref="M64" ca="1">DSUM(MercadoBase1,M$53,INDIRECT("r"&amp;5+2*(ROW()-54)&amp;":r"&amp;6+2*(ROW()-54)))</f>
        <v>0</v>
      </c>
      <c r="N64" s="991" cm="1">
        <f t="array" aca="1" ref="N64" ca="1">DSUM(MercadoBase1,N$53,INDIRECT("r"&amp;5+2*(ROW()-54)&amp;":r"&amp;6+2*(ROW()-54)))</f>
        <v>0</v>
      </c>
      <c r="O64" s="991" cm="1">
        <f t="array" aca="1" ref="O64" ca="1">DSUM(MercadoBase1,O$53,INDIRECT("r"&amp;5+2*(ROW()-54)&amp;":r"&amp;6+2*(ROW()-54)))</f>
        <v>0</v>
      </c>
      <c r="P64" s="991" cm="1">
        <f t="array" aca="1" ref="P64" ca="1">DSUM(MercadoBase1,P$53,INDIRECT("r"&amp;5+2*(ROW()-54)&amp;":r"&amp;6+2*(ROW()-54)))</f>
        <v>0</v>
      </c>
      <c r="Q64" s="999" cm="1">
        <f t="array" aca="1" ref="Q64" ca="1">DSUM(MercadoBase1,Q$53,INDIRECT("r"&amp;5+2*(ROW()-54)&amp;":r"&amp;6+2*(ROW()-54)))</f>
        <v>0</v>
      </c>
      <c r="R64" s="992">
        <f>VLOOKUP(CAPA!$C$17,Índices!B:F,5,FALSE)/VLOOKUP(DATE(YEAR(B64),MONTH(B64),1),Índices!B:F,5,FALSE)</f>
        <v>1.0083432052372134</v>
      </c>
      <c r="S64" s="1001" cm="1">
        <f t="array" aca="1" ref="S64" ca="1">DSUM(MercadoBase1,S$53,INDIRECT("r"&amp;5+2*(ROW()-54)&amp;":r"&amp;6+2*(ROW()-54)))</f>
        <v>0</v>
      </c>
      <c r="T64" s="991" cm="1">
        <f t="array" aca="1" ref="T64" ca="1">DSUM(MercadoBase1,T$53,INDIRECT("r"&amp;5+2*(ROW()-54)&amp;":r"&amp;6+2*(ROW()-54)))</f>
        <v>0</v>
      </c>
      <c r="U64" s="991" cm="1">
        <f t="array" aca="1" ref="U64" ca="1">DSUM(MercadoBase1,U$53,INDIRECT("r"&amp;5+2*(ROW()-54)&amp;":r"&amp;6+2*(ROW()-54)))</f>
        <v>0</v>
      </c>
      <c r="V64" s="991" cm="1">
        <f t="array" aca="1" ref="V64" ca="1">DSUM(MercadoBase1,V$53,INDIRECT("r"&amp;5+2*(ROW()-54)&amp;":r"&amp;6+2*(ROW()-54)))</f>
        <v>0</v>
      </c>
      <c r="W64" s="991" cm="1">
        <f t="array" aca="1" ref="W64" ca="1">DSUM(MercadoBase1,W$53,INDIRECT("r"&amp;5+2*(ROW()-54)&amp;":r"&amp;6+2*(ROW()-54)))</f>
        <v>0</v>
      </c>
      <c r="X64" s="991" cm="1">
        <f t="array" aca="1" ref="X64" ca="1">DSUM(MercadoBase1,X$53,INDIRECT("r"&amp;5+2*(ROW()-54)&amp;":r"&amp;6+2*(ROW()-54)))</f>
        <v>0</v>
      </c>
      <c r="Y64" s="991" cm="1">
        <f t="array" aca="1" ref="Y64" ca="1">DSUM(MercadoBase1,Y$53,INDIRECT("r"&amp;5+2*(ROW()-54)&amp;":r"&amp;6+2*(ROW()-54)))</f>
        <v>0</v>
      </c>
      <c r="Z64" s="991" cm="1">
        <f t="array" aca="1" ref="Z64" ca="1">DSUM(MercadoBase1,Z$53,INDIRECT("r"&amp;5+2*(ROW()-54)&amp;":r"&amp;6+2*(ROW()-54)))</f>
        <v>386956.65781524539</v>
      </c>
      <c r="AA64" s="991" cm="1">
        <f t="array" aca="1" ref="AA64" ca="1">DSUM(MercadoBase1,AA$53,INDIRECT("r"&amp;5+2*(ROW()-54)&amp;":r"&amp;6+2*(ROW()-54)))</f>
        <v>0</v>
      </c>
      <c r="AB64" s="991" cm="1">
        <f t="array" aca="1" ref="AB64" ca="1">DSUM(MercadoBase1,AB$53,INDIRECT("r"&amp;5+2*(ROW()-54)&amp;":r"&amp;6+2*(ROW()-54)))</f>
        <v>0</v>
      </c>
    </row>
    <row r="65" spans="2:28" ht="15" customHeight="1">
      <c r="B65" s="989">
        <f>DATE(YEAR(CAPA!$C$15),MONTH(CAPA!$C$15)-1,1)</f>
        <v>44652</v>
      </c>
      <c r="C65" s="990"/>
      <c r="D65" s="1489" cm="1">
        <f t="array" aca="1" ref="D65" ca="1">DSUM(MercadoBase1,D$53,INDIRECT("r"&amp;5+2*(ROW()-54)&amp;":r"&amp;6+2*(ROW()-54)))</f>
        <v>0</v>
      </c>
      <c r="E65" s="1489" cm="1">
        <f t="array" aca="1" ref="E65" ca="1">DSUM(MercadoBase1,E$53,INDIRECT("r"&amp;5+2*(ROW()-54)&amp;":r"&amp;6+2*(ROW()-54)))</f>
        <v>0</v>
      </c>
      <c r="F65" s="991" cm="1">
        <f t="array" aca="1" ref="F65" ca="1">DSUM(MercadoBase1,F$53,INDIRECT("r"&amp;5+2*(ROW()-54)&amp;":r"&amp;6+2*(ROW()-54)))</f>
        <v>0</v>
      </c>
      <c r="G65" s="1489" cm="1">
        <f t="array" aca="1" ref="G65" ca="1">DSUM(MercadoBase1,G$53,INDIRECT("r"&amp;5+2*(ROW()-54)&amp;":r"&amp;6+2*(ROW()-54)))</f>
        <v>6816.6435781711834</v>
      </c>
      <c r="H65" s="1489" cm="1">
        <f t="array" aca="1" ref="H65" ca="1">DSUM(MercadoBase1,H$53,INDIRECT("r"&amp;5+2*(ROW()-54)&amp;":r"&amp;6+2*(ROW()-54)))</f>
        <v>16612.123210099115</v>
      </c>
      <c r="I65" s="991" cm="1">
        <f t="array" aca="1" ref="I65" ca="1">DSUM(MercadoBase1,I$53,INDIRECT("r"&amp;5+2*(ROW()-54)&amp;":r"&amp;6+2*(ROW()-54)))</f>
        <v>1571.4109993064831</v>
      </c>
      <c r="J65" s="1489" cm="1">
        <f t="array" aca="1" ref="J65" ca="1">DSUM(MercadoBase1,J$53,INDIRECT("r"&amp;5+2*(ROW()-54)&amp;":r"&amp;6+2*(ROW()-54)))</f>
        <v>0</v>
      </c>
      <c r="K65" s="1489" cm="1">
        <f t="array" aca="1" ref="K65" ca="1">DSUM(MercadoBase1,K$53,INDIRECT("r"&amp;5+2*(ROW()-54)&amp;":r"&amp;6+2*(ROW()-54)))</f>
        <v>0</v>
      </c>
      <c r="L65" s="991" cm="1">
        <f t="array" aca="1" ref="L65" ca="1">DSUM(MercadoBase1,L$53,INDIRECT("r"&amp;5+2*(ROW()-54)&amp;":r"&amp;6+2*(ROW()-54)))</f>
        <v>0</v>
      </c>
      <c r="M65" s="1489" cm="1">
        <f t="array" aca="1" ref="M65" ca="1">DSUM(MercadoBase1,M$53,INDIRECT("r"&amp;5+2*(ROW()-54)&amp;":r"&amp;6+2*(ROW()-54)))</f>
        <v>0</v>
      </c>
      <c r="N65" s="1489" cm="1">
        <f t="array" aca="1" ref="N65" ca="1">DSUM(MercadoBase1,N$53,INDIRECT("r"&amp;5+2*(ROW()-54)&amp;":r"&amp;6+2*(ROW()-54)))</f>
        <v>0</v>
      </c>
      <c r="O65" s="991" cm="1">
        <f t="array" aca="1" ref="O65" ca="1">DSUM(MercadoBase1,O$53,INDIRECT("r"&amp;5+2*(ROW()-54)&amp;":r"&amp;6+2*(ROW()-54)))</f>
        <v>0</v>
      </c>
      <c r="P65" s="1489" cm="1">
        <f t="array" aca="1" ref="P65" ca="1">DSUM(MercadoBase1,P$53,INDIRECT("r"&amp;5+2*(ROW()-54)&amp;":r"&amp;6+2*(ROW()-54)))</f>
        <v>0</v>
      </c>
      <c r="Q65" s="1000" cm="1">
        <f t="array" aca="1" ref="Q65" ca="1">DSUM(MercadoBase1,Q$53,INDIRECT("r"&amp;5+2*(ROW()-54)&amp;":r"&amp;6+2*(ROW()-54)))</f>
        <v>0</v>
      </c>
      <c r="R65" s="1490">
        <f>VLOOKUP(CAPA!$C$17,Índices!B:F,5,FALSE)/VLOOKUP(DATE(YEAR(B65),MONTH(B65),1),Índices!B:F,5,FALSE)</f>
        <v>1</v>
      </c>
      <c r="S65" s="1001" cm="1">
        <f t="array" aca="1" ref="S65" ca="1">DSUM(MercadoBase1,S$53,INDIRECT("r"&amp;5+2*(ROW()-54)&amp;":r"&amp;6+2*(ROW()-54)))</f>
        <v>0</v>
      </c>
      <c r="T65" s="1489" cm="1">
        <f t="array" aca="1" ref="T65" ca="1">DSUM(MercadoBase1,T$53,INDIRECT("r"&amp;5+2*(ROW()-54)&amp;":r"&amp;6+2*(ROW()-54)))</f>
        <v>0</v>
      </c>
      <c r="U65" s="1489" cm="1">
        <f t="array" aca="1" ref="U65" ca="1">DSUM(MercadoBase1,U$53,INDIRECT("r"&amp;5+2*(ROW()-54)&amp;":r"&amp;6+2*(ROW()-54)))</f>
        <v>0</v>
      </c>
      <c r="V65" s="991" cm="1">
        <f t="array" aca="1" ref="V65" ca="1">DSUM(MercadoBase1,V$53,INDIRECT("r"&amp;5+2*(ROW()-54)&amp;":r"&amp;6+2*(ROW()-54)))</f>
        <v>0</v>
      </c>
      <c r="W65" s="1489" cm="1">
        <f t="array" aca="1" ref="W65" ca="1">DSUM(MercadoBase1,W$53,INDIRECT("r"&amp;5+2*(ROW()-54)&amp;":r"&amp;6+2*(ROW()-54)))</f>
        <v>0</v>
      </c>
      <c r="X65" s="1489" cm="1">
        <f t="array" aca="1" ref="X65" ca="1">DSUM(MercadoBase1,X$53,INDIRECT("r"&amp;5+2*(ROW()-54)&amp;":r"&amp;6+2*(ROW()-54)))</f>
        <v>0</v>
      </c>
      <c r="Y65" s="991" cm="1">
        <f t="array" aca="1" ref="Y65" ca="1">DSUM(MercadoBase1,Y$53,INDIRECT("r"&amp;5+2*(ROW()-54)&amp;":r"&amp;6+2*(ROW()-54)))</f>
        <v>0</v>
      </c>
      <c r="Z65" s="1489" cm="1">
        <f t="array" aca="1" ref="Z65" ca="1">DSUM(MercadoBase1,Z$53,INDIRECT("r"&amp;5+2*(ROW()-54)&amp;":r"&amp;6+2*(ROW()-54)))</f>
        <v>374257.25988907344</v>
      </c>
      <c r="AA65" s="1489" cm="1">
        <f t="array" aca="1" ref="AA65" ca="1">DSUM(MercadoBase1,AA$53,INDIRECT("r"&amp;5+2*(ROW()-54)&amp;":r"&amp;6+2*(ROW()-54)))</f>
        <v>0</v>
      </c>
      <c r="AB65" s="991" cm="1">
        <f t="array" aca="1" ref="AB65" ca="1">DSUM(MercadoBase1,AB$53,INDIRECT("r"&amp;5+2*(ROW()-54)&amp;":r"&amp;6+2*(ROW()-54)))</f>
        <v>0</v>
      </c>
    </row>
    <row r="66" spans="2:28" ht="15" customHeight="1">
      <c r="B66" s="1491" t="s">
        <v>1013</v>
      </c>
      <c r="C66" s="1492"/>
      <c r="D66" s="1493">
        <f ca="1">SUM(D54:D65)</f>
        <v>0</v>
      </c>
      <c r="E66" s="1493">
        <f t="shared" ref="E66:Q66" ca="1" si="3">SUM(E54:E65)</f>
        <v>0</v>
      </c>
      <c r="F66" s="1493">
        <f t="shared" ca="1" si="3"/>
        <v>0</v>
      </c>
      <c r="G66" s="1493">
        <f ca="1">SUM(G54:G65)</f>
        <v>81589.364739786834</v>
      </c>
      <c r="H66" s="1493">
        <f t="shared" ca="1" si="3"/>
        <v>198831.46699689492</v>
      </c>
      <c r="I66" s="1493">
        <f t="shared" ca="1" si="3"/>
        <v>17767.951796684072</v>
      </c>
      <c r="J66" s="1493">
        <f t="shared" ca="1" si="3"/>
        <v>0</v>
      </c>
      <c r="K66" s="1493">
        <f t="shared" ca="1" si="3"/>
        <v>0</v>
      </c>
      <c r="L66" s="1493">
        <f t="shared" ca="1" si="3"/>
        <v>0</v>
      </c>
      <c r="M66" s="1493">
        <f t="shared" ca="1" si="3"/>
        <v>0</v>
      </c>
      <c r="N66" s="1493">
        <f t="shared" ca="1" si="3"/>
        <v>0</v>
      </c>
      <c r="O66" s="1493">
        <f t="shared" ca="1" si="3"/>
        <v>0</v>
      </c>
      <c r="P66" s="1493">
        <f t="shared" ca="1" si="3"/>
        <v>0</v>
      </c>
      <c r="Q66" s="1493">
        <f t="shared" ca="1" si="3"/>
        <v>0</v>
      </c>
      <c r="R66" s="1489"/>
      <c r="S66" s="1493">
        <f t="shared" ref="S66:AB66" ca="1" si="4">SUM(S54:S65)</f>
        <v>0</v>
      </c>
      <c r="T66" s="1493">
        <f t="shared" ca="1" si="4"/>
        <v>0</v>
      </c>
      <c r="U66" s="1493">
        <f t="shared" ca="1" si="4"/>
        <v>0</v>
      </c>
      <c r="V66" s="1493">
        <f t="shared" ca="1" si="4"/>
        <v>0</v>
      </c>
      <c r="W66" s="1493">
        <f t="shared" ca="1" si="4"/>
        <v>0</v>
      </c>
      <c r="X66" s="1493">
        <f t="shared" ca="1" si="4"/>
        <v>0</v>
      </c>
      <c r="Y66" s="1493">
        <f t="shared" ca="1" si="4"/>
        <v>0</v>
      </c>
      <c r="Z66" s="1493">
        <f t="shared" ca="1" si="4"/>
        <v>4231124.5586344618</v>
      </c>
      <c r="AA66" s="1493">
        <f t="shared" ca="1" si="4"/>
        <v>0</v>
      </c>
      <c r="AB66" s="1493">
        <f t="shared" ca="1" si="4"/>
        <v>0</v>
      </c>
    </row>
    <row r="67" spans="2:28" ht="15" customHeight="1">
      <c r="B67" s="1494" t="s">
        <v>1459</v>
      </c>
      <c r="C67" s="1495"/>
      <c r="D67" s="1496">
        <f t="shared" ref="D67:AB67" ca="1" si="5">SUMPRODUCT(D54:D65,$R$54:$R$65)</f>
        <v>0</v>
      </c>
      <c r="E67" s="1497">
        <f t="shared" ca="1" si="5"/>
        <v>0</v>
      </c>
      <c r="F67" s="1498">
        <f t="shared" ca="1" si="5"/>
        <v>0</v>
      </c>
      <c r="G67" s="1497">
        <f t="shared" ca="1" si="5"/>
        <v>84770.403953340327</v>
      </c>
      <c r="H67" s="1497">
        <f t="shared" ca="1" si="5"/>
        <v>206583.87298400514</v>
      </c>
      <c r="I67" s="1498">
        <f t="shared" ca="1" si="5"/>
        <v>18451.346311933565</v>
      </c>
      <c r="J67" s="1496">
        <f t="shared" ca="1" si="5"/>
        <v>0</v>
      </c>
      <c r="K67" s="1497">
        <f t="shared" ca="1" si="5"/>
        <v>0</v>
      </c>
      <c r="L67" s="1498">
        <f t="shared" ca="1" si="5"/>
        <v>0</v>
      </c>
      <c r="M67" s="1497">
        <f t="shared" ca="1" si="5"/>
        <v>0</v>
      </c>
      <c r="N67" s="1497">
        <f t="shared" ca="1" si="5"/>
        <v>0</v>
      </c>
      <c r="O67" s="1498">
        <f t="shared" ca="1" si="5"/>
        <v>0</v>
      </c>
      <c r="P67" s="1496">
        <f t="shared" ca="1" si="5"/>
        <v>0</v>
      </c>
      <c r="Q67" s="1496">
        <f t="shared" ca="1" si="5"/>
        <v>0</v>
      </c>
      <c r="R67" s="1497">
        <f t="shared" si="5"/>
        <v>12.974834755294193</v>
      </c>
      <c r="S67" s="1498">
        <f t="shared" ca="1" si="5"/>
        <v>0</v>
      </c>
      <c r="T67" s="1497">
        <f t="shared" ca="1" si="5"/>
        <v>0</v>
      </c>
      <c r="U67" s="1497">
        <f t="shared" ca="1" si="5"/>
        <v>0</v>
      </c>
      <c r="V67" s="1498">
        <f t="shared" ca="1" si="5"/>
        <v>0</v>
      </c>
      <c r="W67" s="1496">
        <f t="shared" ca="1" si="5"/>
        <v>0</v>
      </c>
      <c r="X67" s="1497">
        <f t="shared" ca="1" si="5"/>
        <v>0</v>
      </c>
      <c r="Y67" s="1498">
        <f t="shared" ca="1" si="5"/>
        <v>0</v>
      </c>
      <c r="Z67" s="1497">
        <f t="shared" ca="1" si="5"/>
        <v>4393929.2577189002</v>
      </c>
      <c r="AA67" s="1497">
        <f t="shared" ca="1" si="5"/>
        <v>0</v>
      </c>
      <c r="AB67" s="1498">
        <f t="shared" ca="1" si="5"/>
        <v>0</v>
      </c>
    </row>
    <row r="71" spans="2:28" ht="15" customHeight="1">
      <c r="H71" s="1002"/>
      <c r="J71" s="1002"/>
    </row>
    <row r="72" spans="2:28" ht="15" customHeight="1">
      <c r="H72" s="1002"/>
      <c r="J72" s="1002"/>
    </row>
    <row r="73" spans="2:28" ht="15" customHeight="1">
      <c r="H73" s="1002"/>
      <c r="J73" s="1002"/>
    </row>
    <row r="74" spans="2:28" ht="15" customHeight="1">
      <c r="H74" s="1002"/>
      <c r="J74" s="1002"/>
    </row>
    <row r="75" spans="2:28" ht="15" customHeight="1">
      <c r="H75" s="1002"/>
      <c r="J75" s="1002"/>
    </row>
    <row r="76" spans="2:28" ht="15" customHeight="1">
      <c r="H76" s="1002"/>
      <c r="J76" s="1002"/>
    </row>
    <row r="77" spans="2:28" ht="15" customHeight="1">
      <c r="H77" s="1002"/>
      <c r="J77" s="1002"/>
    </row>
    <row r="78" spans="2:28" ht="15" customHeight="1">
      <c r="H78" s="1002"/>
      <c r="J78" s="1002"/>
    </row>
    <row r="79" spans="2:28" ht="15" customHeight="1">
      <c r="H79" s="1002"/>
      <c r="J79" s="1002"/>
    </row>
    <row r="80" spans="2:28" ht="15" customHeight="1">
      <c r="H80" s="1002"/>
      <c r="J80" s="1002"/>
    </row>
    <row r="81" spans="8:10" ht="15" customHeight="1">
      <c r="H81" s="1002"/>
      <c r="J81" s="1002"/>
    </row>
    <row r="82" spans="8:10" ht="15" customHeight="1">
      <c r="H82" s="1002"/>
      <c r="J82" s="1002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workbookViewId="0"/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98" t="str">
        <f>CAPA!C9</f>
        <v>Cercos</v>
      </c>
    </row>
    <row r="3" spans="1:14">
      <c r="A3" s="898" t="s">
        <v>1460</v>
      </c>
      <c r="B3" s="899">
        <v>0</v>
      </c>
    </row>
    <row r="7" spans="1:14">
      <c r="A7" s="900"/>
      <c r="B7" s="1747" t="s">
        <v>1461</v>
      </c>
      <c r="C7" s="1747"/>
      <c r="D7" s="1747"/>
      <c r="E7" s="900"/>
      <c r="F7" s="1747" t="s">
        <v>1462</v>
      </c>
      <c r="G7" s="1747"/>
      <c r="H7" s="1747"/>
      <c r="I7" s="900"/>
      <c r="J7" s="1747" t="s">
        <v>1463</v>
      </c>
      <c r="K7" s="1747"/>
      <c r="L7" s="1747"/>
    </row>
    <row r="8" spans="1:14">
      <c r="A8" s="1499" t="s">
        <v>1464</v>
      </c>
      <c r="B8" s="1499" t="s">
        <v>1465</v>
      </c>
      <c r="C8" s="1499" t="s">
        <v>110</v>
      </c>
      <c r="D8" s="1499" t="s">
        <v>1466</v>
      </c>
      <c r="E8" s="1499"/>
      <c r="F8" s="1499" t="s">
        <v>1465</v>
      </c>
      <c r="G8" s="1499" t="s">
        <v>1467</v>
      </c>
      <c r="H8" s="1499" t="s">
        <v>1468</v>
      </c>
      <c r="I8" s="1499"/>
      <c r="J8" s="1499" t="s">
        <v>1465</v>
      </c>
      <c r="K8" s="1499" t="s">
        <v>1467</v>
      </c>
      <c r="L8" s="1499" t="s">
        <v>1469</v>
      </c>
    </row>
    <row r="9" spans="1:14">
      <c r="A9" s="1500">
        <v>44013</v>
      </c>
      <c r="B9" s="1501">
        <f>SUMIFS(BDCOVID!F:F,BDCOVID!$C:$C,'Conta covid'!$A$1,BDCOVID!$AH:$AH,'Conta covid'!$A9)</f>
        <v>0</v>
      </c>
      <c r="C9" s="1501">
        <f>SUMIFS(BDCOVID!G:G,BDCOVID!$C:$C,'Conta covid'!$A$1,BDCOVID!$AH:$AH,'Conta covid'!$A9)</f>
        <v>0</v>
      </c>
      <c r="D9" s="1502">
        <f>B9-C9</f>
        <v>0</v>
      </c>
      <c r="E9" s="1501"/>
      <c r="F9" s="1503">
        <f>B9*VLOOKUP(SAS_RA0_DataFim,Índices!$B$6:$F$405,5,FALSE)/VLOOKUP(EDATE('Conta covid'!$A9,-1),Índices!$B$6:$F$405,5,FALSE)</f>
        <v>0</v>
      </c>
      <c r="G9" s="1503">
        <f>C9*VLOOKUP(SAS_RA0_DataFim,Índices!$B$6:$F$405,5,FALSE)/VLOOKUP(EDATE('Conta covid'!$A9,-1),Índices!$B$6:$F$405,5,FALSE)</f>
        <v>0</v>
      </c>
      <c r="H9" s="1503">
        <f>F9-G9</f>
        <v>0</v>
      </c>
      <c r="I9" s="1501"/>
      <c r="J9" s="1503">
        <f>IFERROR(IF($C$19,H9*$B$3,0),0)</f>
        <v>0</v>
      </c>
      <c r="K9" s="1503"/>
      <c r="L9" s="1503"/>
    </row>
    <row r="10" spans="1:14">
      <c r="A10" s="1500">
        <v>44044</v>
      </c>
      <c r="B10" s="1501">
        <f>SUMIFS(BDCOVID!F:F,BDCOVID!$C:$C,'Conta covid'!$A$1,BDCOVID!$AH:$AH,'Conta covid'!$A10)</f>
        <v>0</v>
      </c>
      <c r="C10" s="1501">
        <f>SUMIFS(BDCOVID!G:G,BDCOVID!$C:$C,'Conta covid'!$A$1,BDCOVID!$AH:$AH,'Conta covid'!$A10)</f>
        <v>0</v>
      </c>
      <c r="D10" s="1502">
        <f t="shared" ref="D10:D15" si="0">B10-C10</f>
        <v>0</v>
      </c>
      <c r="E10" s="1501"/>
      <c r="F10" s="1503">
        <f>B10*VLOOKUP(SAS_RA0_DataFim,Índices!$B$6:$F$405,5,FALSE)/VLOOKUP(EDATE('Conta covid'!$A10,-1),Índices!$B$6:$F$405,5,FALSE)</f>
        <v>0</v>
      </c>
      <c r="G10" s="1503">
        <f>C10*VLOOKUP(SAS_RA0_DataFim,Índices!$B$6:$F$405,5,FALSE)/VLOOKUP(EDATE('Conta covid'!$A10,-1),Índices!$B$6:$F$405,5,FALSE)</f>
        <v>0</v>
      </c>
      <c r="H10" s="1503">
        <f t="shared" ref="H10:H15" si="1">F10-G10</f>
        <v>0</v>
      </c>
      <c r="I10" s="1501"/>
      <c r="J10" s="1503">
        <f t="shared" ref="J10:J16" si="2">IFERROR(IF($C$19,H10*$B$3,0),0)</f>
        <v>0</v>
      </c>
      <c r="K10" s="1503"/>
      <c r="L10" s="1503"/>
    </row>
    <row r="11" spans="1:14">
      <c r="A11" s="1500">
        <v>44075</v>
      </c>
      <c r="B11" s="1501">
        <f>SUMIFS(BDCOVID!F:F,BDCOVID!$C:$C,'Conta covid'!$A$1,BDCOVID!$AH:$AH,'Conta covid'!$A11)</f>
        <v>0</v>
      </c>
      <c r="C11" s="1501">
        <f>SUMIFS(BDCOVID!G:G,BDCOVID!$C:$C,'Conta covid'!$A$1,BDCOVID!$AH:$AH,'Conta covid'!$A11)</f>
        <v>0</v>
      </c>
      <c r="D11" s="1502">
        <f t="shared" si="0"/>
        <v>0</v>
      </c>
      <c r="E11" s="1501"/>
      <c r="F11" s="1503">
        <f>B11*VLOOKUP(SAS_RA0_DataFim,Índices!$B$6:$F$405,5,FALSE)/VLOOKUP(EDATE('Conta covid'!$A11,-1),Índices!$B$6:$F$405,5,FALSE)</f>
        <v>0</v>
      </c>
      <c r="G11" s="1503">
        <f>C11*VLOOKUP(SAS_RA0_DataFim,Índices!$B$6:$F$405,5,FALSE)/VLOOKUP(EDATE('Conta covid'!$A11,-1),Índices!$B$6:$F$405,5,FALSE)</f>
        <v>0</v>
      </c>
      <c r="H11" s="1503">
        <f t="shared" si="1"/>
        <v>0</v>
      </c>
      <c r="I11" s="1501"/>
      <c r="J11" s="1503">
        <f t="shared" si="2"/>
        <v>0</v>
      </c>
      <c r="K11" s="1503"/>
      <c r="L11" s="1503"/>
    </row>
    <row r="12" spans="1:14">
      <c r="A12" s="1500">
        <v>44105</v>
      </c>
      <c r="B12" s="1501">
        <f>SUMIFS(BDCOVID!F:F,BDCOVID!$C:$C,'Conta covid'!$A$1,BDCOVID!$AH:$AH,'Conta covid'!$A12)</f>
        <v>0</v>
      </c>
      <c r="C12" s="1501">
        <f>SUMIFS(BDCOVID!G:G,BDCOVID!$C:$C,'Conta covid'!$A$1,BDCOVID!$AH:$AH,'Conta covid'!$A12)</f>
        <v>0</v>
      </c>
      <c r="D12" s="1502">
        <f t="shared" si="0"/>
        <v>0</v>
      </c>
      <c r="E12" s="1501"/>
      <c r="F12" s="1503">
        <f>B12*VLOOKUP(SAS_RA0_DataFim,Índices!$B$6:$F$405,5,FALSE)/VLOOKUP(EDATE('Conta covid'!$A12,-1),Índices!$B$6:$F$405,5,FALSE)</f>
        <v>0</v>
      </c>
      <c r="G12" s="1503">
        <f>C12*VLOOKUP(SAS_RA0_DataFim,Índices!$B$6:$F$405,5,FALSE)/VLOOKUP(EDATE('Conta covid'!$A12,-1),Índices!$B$6:$F$405,5,FALSE)</f>
        <v>0</v>
      </c>
      <c r="H12" s="1503">
        <f t="shared" si="1"/>
        <v>0</v>
      </c>
      <c r="I12" s="1501"/>
      <c r="J12" s="1503">
        <f t="shared" si="2"/>
        <v>0</v>
      </c>
      <c r="K12" s="1503"/>
      <c r="L12" s="1503"/>
    </row>
    <row r="13" spans="1:14">
      <c r="A13" s="1500">
        <v>44136</v>
      </c>
      <c r="B13" s="1501">
        <f>SUMIFS(BDCOVID!F:F,BDCOVID!$C:$C,'Conta covid'!$A$1,BDCOVID!$AH:$AH,'Conta covid'!$A13)</f>
        <v>0</v>
      </c>
      <c r="C13" s="1501">
        <f>SUMIFS(BDCOVID!G:G,BDCOVID!$C:$C,'Conta covid'!$A$1,BDCOVID!$AH:$AH,'Conta covid'!$A13)</f>
        <v>0</v>
      </c>
      <c r="D13" s="1502">
        <f t="shared" si="0"/>
        <v>0</v>
      </c>
      <c r="E13" s="1501"/>
      <c r="F13" s="1503">
        <f>B13*VLOOKUP(SAS_RA0_DataFim,Índices!$B$6:$F$405,5,FALSE)/VLOOKUP(EDATE('Conta covid'!$A13,-1),Índices!$B$6:$F$405,5,FALSE)</f>
        <v>0</v>
      </c>
      <c r="G13" s="1503">
        <f>C13*VLOOKUP(SAS_RA0_DataFim,Índices!$B$6:$F$405,5,FALSE)/VLOOKUP(EDATE('Conta covid'!$A13,-1),Índices!$B$6:$F$405,5,FALSE)</f>
        <v>0</v>
      </c>
      <c r="H13" s="1503">
        <f t="shared" si="1"/>
        <v>0</v>
      </c>
      <c r="I13" s="1501"/>
      <c r="J13" s="1503">
        <f t="shared" si="2"/>
        <v>0</v>
      </c>
      <c r="K13" s="1503"/>
      <c r="L13" s="1503"/>
      <c r="M13" s="901">
        <f t="shared" ref="M13:N13" si="3">SUM(M5:M12)</f>
        <v>0</v>
      </c>
      <c r="N13" s="901">
        <f t="shared" si="3"/>
        <v>0</v>
      </c>
    </row>
    <row r="14" spans="1:14">
      <c r="A14" s="1500">
        <v>44166</v>
      </c>
      <c r="B14" s="1501">
        <f>SUMIFS(BDCOVID!F:F,BDCOVID!$C:$C,'Conta covid'!$A$1,BDCOVID!$AH:$AH,'Conta covid'!$A14)</f>
        <v>0</v>
      </c>
      <c r="C14" s="1501">
        <f>SUMIFS(BDCOVID!G:G,BDCOVID!$C:$C,'Conta covid'!$A$1,BDCOVID!$AH:$AH,'Conta covid'!$A14)</f>
        <v>0</v>
      </c>
      <c r="D14" s="1502">
        <f t="shared" si="0"/>
        <v>0</v>
      </c>
      <c r="E14" s="1501"/>
      <c r="F14" s="1503">
        <f>B14*VLOOKUP(SAS_RA0_DataFim,Índices!$B$6:$F$405,5,FALSE)/VLOOKUP(EDATE('Conta covid'!$A14,-1),Índices!$B$6:$F$405,5,FALSE)</f>
        <v>0</v>
      </c>
      <c r="G14" s="1503">
        <f>C14*VLOOKUP(SAS_RA0_DataFim,Índices!$B$6:$F$405,5,FALSE)/VLOOKUP(EDATE('Conta covid'!$A14,-1),Índices!$B$6:$F$405,5,FALSE)</f>
        <v>0</v>
      </c>
      <c r="H14" s="1503">
        <f t="shared" si="1"/>
        <v>0</v>
      </c>
      <c r="I14" s="1501"/>
      <c r="J14" s="1503">
        <f t="shared" si="2"/>
        <v>0</v>
      </c>
      <c r="K14" s="1503"/>
      <c r="L14" s="1503"/>
    </row>
    <row r="15" spans="1:14">
      <c r="A15" s="1500">
        <v>44197</v>
      </c>
      <c r="B15" s="1501">
        <f>SUMIFS(BDCOVID!F:F,BDCOVID!$C:$C,'Conta covid'!$A$1,BDCOVID!$AH:$AH,'Conta covid'!$A15)</f>
        <v>0</v>
      </c>
      <c r="C15" s="1501">
        <f>SUMIFS(BDCOVID!G:G,BDCOVID!$C:$C,'Conta covid'!$A$1,BDCOVID!$AH:$AH,'Conta covid'!$A15)</f>
        <v>0</v>
      </c>
      <c r="D15" s="1502">
        <f t="shared" si="0"/>
        <v>0</v>
      </c>
      <c r="E15" s="1501"/>
      <c r="F15" s="1503">
        <f>B15*VLOOKUP(SAS_RA0_DataFim,Índices!$B$6:$F$405,5,FALSE)/VLOOKUP(EDATE('Conta covid'!$A15,-1),Índices!$B$6:$F$405,5,FALSE)</f>
        <v>0</v>
      </c>
      <c r="G15" s="1503">
        <f>C15*VLOOKUP(SAS_RA0_DataFim,Índices!$B$6:$F$405,5,FALSE)/VLOOKUP(EDATE('Conta covid'!$A15,-1),Índices!$B$6:$F$405,5,FALSE)</f>
        <v>0</v>
      </c>
      <c r="H15" s="1503">
        <f t="shared" si="1"/>
        <v>0</v>
      </c>
      <c r="I15" s="1501"/>
      <c r="J15" s="1503">
        <f t="shared" si="2"/>
        <v>0</v>
      </c>
      <c r="K15" s="1503"/>
      <c r="L15" s="1503"/>
    </row>
    <row r="16" spans="1:14">
      <c r="A16" s="1501"/>
      <c r="B16" s="1501"/>
      <c r="C16" s="1501"/>
      <c r="D16" s="1501"/>
      <c r="E16" s="1501"/>
      <c r="F16" s="1501"/>
      <c r="G16" s="1503"/>
      <c r="H16" s="1501"/>
      <c r="I16" s="1501"/>
      <c r="J16" s="1503">
        <f t="shared" si="2"/>
        <v>0</v>
      </c>
      <c r="K16" s="1501"/>
      <c r="L16" s="1501"/>
    </row>
    <row r="17" spans="1:12">
      <c r="A17" s="1504" t="s">
        <v>846</v>
      </c>
      <c r="B17" s="1505">
        <f>SUM(B9:B16)</f>
        <v>0</v>
      </c>
      <c r="C17" s="1505">
        <f t="shared" ref="C17:L17" si="4">SUM(C9:C16)</f>
        <v>0</v>
      </c>
      <c r="D17" s="1505">
        <f t="shared" si="4"/>
        <v>0</v>
      </c>
      <c r="E17" s="1505">
        <f t="shared" si="4"/>
        <v>0</v>
      </c>
      <c r="F17" s="1505">
        <f t="shared" si="4"/>
        <v>0</v>
      </c>
      <c r="G17" s="1505">
        <f t="shared" si="4"/>
        <v>0</v>
      </c>
      <c r="H17" s="1505">
        <f t="shared" si="4"/>
        <v>0</v>
      </c>
      <c r="I17" s="1505">
        <f t="shared" si="4"/>
        <v>0</v>
      </c>
      <c r="J17" s="1505">
        <f t="shared" si="4"/>
        <v>0</v>
      </c>
      <c r="K17" s="1505">
        <f t="shared" si="4"/>
        <v>0</v>
      </c>
      <c r="L17" s="1505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topLeftCell="C1" workbookViewId="0"/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5" t="s">
        <v>1470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4"/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358"/>
      <c r="P2" s="358"/>
      <c r="Q2" s="358"/>
      <c r="R2" s="9"/>
      <c r="S2" s="9"/>
      <c r="T2" s="9"/>
      <c r="U2" s="9"/>
      <c r="V2" s="9"/>
    </row>
    <row r="3" spans="1:22">
      <c r="A3" s="696" t="s">
        <v>1471</v>
      </c>
      <c r="B3" s="65"/>
      <c r="C3" s="65"/>
      <c r="D3" s="65"/>
      <c r="E3" s="65"/>
      <c r="F3" s="694"/>
      <c r="G3" s="358"/>
      <c r="H3" s="358"/>
      <c r="I3" s="696" t="s">
        <v>1472</v>
      </c>
      <c r="J3" s="358"/>
      <c r="K3" s="697"/>
      <c r="L3" s="9"/>
      <c r="M3" s="9"/>
      <c r="N3" s="694"/>
      <c r="O3" s="358"/>
      <c r="P3" s="358"/>
      <c r="Q3" s="358"/>
      <c r="R3" s="9"/>
      <c r="S3" s="9"/>
      <c r="T3" s="9"/>
      <c r="U3" s="9"/>
      <c r="V3" s="9"/>
    </row>
    <row r="4" spans="1:22" ht="25.5">
      <c r="A4" s="1506" t="s">
        <v>22</v>
      </c>
      <c r="B4" s="1507"/>
      <c r="C4" s="698" t="s">
        <v>929</v>
      </c>
      <c r="D4" s="698" t="s">
        <v>1473</v>
      </c>
      <c r="E4" s="698" t="s">
        <v>1474</v>
      </c>
      <c r="F4" s="698" t="s">
        <v>8</v>
      </c>
      <c r="G4" s="699" t="s">
        <v>1475</v>
      </c>
      <c r="H4" s="358"/>
      <c r="I4" s="1506" t="s">
        <v>22</v>
      </c>
      <c r="J4" s="1506"/>
      <c r="K4" s="1506"/>
      <c r="L4" s="698" t="s">
        <v>1474</v>
      </c>
      <c r="M4" s="698" t="s">
        <v>8</v>
      </c>
      <c r="N4" s="699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508" t="s">
        <v>773</v>
      </c>
      <c r="B5" s="1509"/>
      <c r="C5" s="1510">
        <f>SUMPRODUCT(C16:Q16,$C$22:$Q$22)</f>
        <v>0</v>
      </c>
      <c r="D5" s="703">
        <f>SUMPRODUCT(C28:Q28,$C$34:$Q$34)</f>
        <v>0</v>
      </c>
      <c r="E5" s="1511">
        <f>C5-D5</f>
        <v>0</v>
      </c>
      <c r="F5" s="1512">
        <f>Resultado!M9</f>
        <v>0</v>
      </c>
      <c r="G5" s="700">
        <f>F5+E5</f>
        <v>0</v>
      </c>
      <c r="H5" s="358"/>
      <c r="I5" s="1508" t="s">
        <v>773</v>
      </c>
      <c r="J5" s="1508"/>
      <c r="K5" s="1508"/>
      <c r="L5" s="1512">
        <f t="shared" ref="L5:N10" si="0">E5/12</f>
        <v>0</v>
      </c>
      <c r="M5" s="1512">
        <f t="shared" si="0"/>
        <v>0</v>
      </c>
      <c r="N5" s="1510">
        <f t="shared" si="0"/>
        <v>0</v>
      </c>
      <c r="P5" s="358"/>
      <c r="Q5" s="358"/>
      <c r="R5" s="9"/>
      <c r="S5" s="9"/>
      <c r="T5" s="9"/>
      <c r="U5" s="9"/>
      <c r="V5" s="9"/>
    </row>
    <row r="6" spans="1:22">
      <c r="A6" s="65" t="s">
        <v>775</v>
      </c>
      <c r="B6" s="701"/>
      <c r="C6" s="702">
        <f t="shared" ref="C6:C10" si="1">SUMPRODUCT(C17:Q17,$C$22:$Q$22)</f>
        <v>0</v>
      </c>
      <c r="D6" s="703">
        <f t="shared" ref="D6:D10" si="2">SUMPRODUCT(C29:Q29,$C$34:$Q$34)</f>
        <v>0</v>
      </c>
      <c r="E6" s="721">
        <f t="shared" ref="E6:E10" si="3">C6-D6</f>
        <v>0</v>
      </c>
      <c r="F6" s="703">
        <f>Resultado!M10</f>
        <v>0</v>
      </c>
      <c r="G6" s="700">
        <f t="shared" ref="G6:G10" si="4">F6+E6</f>
        <v>0</v>
      </c>
      <c r="H6" s="358"/>
      <c r="I6" s="65" t="s">
        <v>775</v>
      </c>
      <c r="J6" s="65"/>
      <c r="K6" s="65"/>
      <c r="L6" s="703">
        <f t="shared" si="0"/>
        <v>0</v>
      </c>
      <c r="M6" s="703">
        <f t="shared" si="0"/>
        <v>0</v>
      </c>
      <c r="N6" s="702">
        <f t="shared" si="0"/>
        <v>0</v>
      </c>
      <c r="P6" s="358"/>
      <c r="Q6" s="358"/>
      <c r="R6" s="9"/>
      <c r="S6" s="9"/>
      <c r="T6" s="9"/>
      <c r="U6" s="9"/>
      <c r="V6" s="9"/>
    </row>
    <row r="7" spans="1:22">
      <c r="A7" s="65" t="s">
        <v>777</v>
      </c>
      <c r="B7" s="701"/>
      <c r="C7" s="702">
        <f t="shared" si="1"/>
        <v>0</v>
      </c>
      <c r="D7" s="703">
        <f t="shared" si="2"/>
        <v>0</v>
      </c>
      <c r="E7" s="721">
        <f t="shared" si="3"/>
        <v>0</v>
      </c>
      <c r="F7" s="703">
        <f>-Financeiros!D35+Resultado!M11</f>
        <v>0</v>
      </c>
      <c r="G7" s="700">
        <f t="shared" si="4"/>
        <v>0</v>
      </c>
      <c r="H7" s="358"/>
      <c r="I7" s="65" t="s">
        <v>777</v>
      </c>
      <c r="J7" s="65"/>
      <c r="K7" s="65"/>
      <c r="L7" s="703">
        <f t="shared" si="0"/>
        <v>0</v>
      </c>
      <c r="M7" s="703">
        <f t="shared" si="0"/>
        <v>0</v>
      </c>
      <c r="N7" s="702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778</v>
      </c>
      <c r="B8" s="701"/>
      <c r="C8" s="702">
        <f t="shared" si="1"/>
        <v>36872.169883522423</v>
      </c>
      <c r="D8" s="703">
        <f t="shared" si="2"/>
        <v>34338.492324080667</v>
      </c>
      <c r="E8" s="721">
        <f t="shared" si="3"/>
        <v>2533.6775594417559</v>
      </c>
      <c r="F8" s="703">
        <f>Resultado!M12</f>
        <v>20590.136498970503</v>
      </c>
      <c r="G8" s="700">
        <f t="shared" si="4"/>
        <v>23123.814058412259</v>
      </c>
      <c r="H8" s="358"/>
      <c r="I8" s="65" t="s">
        <v>778</v>
      </c>
      <c r="J8" s="65"/>
      <c r="K8" s="65"/>
      <c r="L8" s="703">
        <f t="shared" si="0"/>
        <v>211.13979662014631</v>
      </c>
      <c r="M8" s="703">
        <f t="shared" si="0"/>
        <v>1715.844708247542</v>
      </c>
      <c r="N8" s="702">
        <f t="shared" si="0"/>
        <v>1926.9845048676882</v>
      </c>
      <c r="P8" s="358"/>
      <c r="Q8" s="358"/>
      <c r="R8" s="9"/>
      <c r="S8" s="9"/>
      <c r="T8" s="9"/>
      <c r="U8" s="9"/>
      <c r="V8" s="9"/>
    </row>
    <row r="9" spans="1:22">
      <c r="A9" s="65" t="s">
        <v>781</v>
      </c>
      <c r="B9" s="701"/>
      <c r="C9" s="702">
        <f t="shared" si="1"/>
        <v>246179.14298817134</v>
      </c>
      <c r="D9" s="703">
        <f t="shared" si="2"/>
        <v>272845.05422813672</v>
      </c>
      <c r="E9" s="721">
        <f>C9-D9</f>
        <v>-26665.911239965382</v>
      </c>
      <c r="F9" s="703">
        <f>Resultado!M13</f>
        <v>138122.56280162229</v>
      </c>
      <c r="G9" s="700">
        <f t="shared" si="4"/>
        <v>111456.65156165691</v>
      </c>
      <c r="H9" s="358"/>
      <c r="I9" s="65" t="s">
        <v>781</v>
      </c>
      <c r="J9" s="65"/>
      <c r="K9" s="65"/>
      <c r="L9" s="703">
        <f t="shared" si="0"/>
        <v>-2222.1592699971152</v>
      </c>
      <c r="M9" s="703">
        <f t="shared" si="0"/>
        <v>11510.213566801858</v>
      </c>
      <c r="N9" s="702">
        <f t="shared" si="0"/>
        <v>9288.054296804743</v>
      </c>
      <c r="P9" s="358"/>
      <c r="Q9" s="358"/>
      <c r="R9" s="9"/>
      <c r="S9" s="9"/>
      <c r="T9" s="9"/>
      <c r="U9" s="9"/>
      <c r="V9" s="9"/>
    </row>
    <row r="10" spans="1:22">
      <c r="A10" s="1204" t="s">
        <v>783</v>
      </c>
      <c r="B10" s="704"/>
      <c r="C10" s="702">
        <f t="shared" si="1"/>
        <v>28420.150214659014</v>
      </c>
      <c r="D10" s="703">
        <f t="shared" si="2"/>
        <v>18247.713963741946</v>
      </c>
      <c r="E10" s="1513">
        <f t="shared" si="3"/>
        <v>10172.436250917068</v>
      </c>
      <c r="F10" s="1514">
        <f>Resultado!M14</f>
        <v>31388.429561335084</v>
      </c>
      <c r="G10" s="700">
        <f t="shared" si="4"/>
        <v>41560.865812252152</v>
      </c>
      <c r="H10" s="358"/>
      <c r="I10" s="1204" t="s">
        <v>783</v>
      </c>
      <c r="J10" s="1204"/>
      <c r="K10" s="1204"/>
      <c r="L10" s="1514">
        <f t="shared" si="0"/>
        <v>847.70302090975565</v>
      </c>
      <c r="M10" s="1514">
        <f t="shared" si="0"/>
        <v>2615.7024634445902</v>
      </c>
      <c r="N10" s="705">
        <f t="shared" si="0"/>
        <v>3463.4054843543458</v>
      </c>
      <c r="P10" s="358"/>
      <c r="Q10" s="358"/>
      <c r="R10" s="9"/>
      <c r="S10" s="9"/>
      <c r="T10" s="9"/>
      <c r="U10" s="9"/>
      <c r="V10" s="9"/>
    </row>
    <row r="11" spans="1:22">
      <c r="A11" s="1515" t="s">
        <v>846</v>
      </c>
      <c r="B11" s="1515"/>
      <c r="C11" s="1516">
        <f>SUM(C5:C10)</f>
        <v>311471.46308635274</v>
      </c>
      <c r="D11" s="1516">
        <f>SUM(D5:D10)</f>
        <v>325431.26051595935</v>
      </c>
      <c r="E11" s="1516">
        <f t="shared" ref="E11" si="5">SUM(E5:E10)</f>
        <v>-13959.797429606559</v>
      </c>
      <c r="F11" s="1516">
        <f>SUM(F5:F10)</f>
        <v>190101.12886192789</v>
      </c>
      <c r="G11" s="1517">
        <f>SUM(G5:G10)</f>
        <v>176141.33143232134</v>
      </c>
      <c r="H11" s="358"/>
      <c r="I11" s="1515" t="s">
        <v>846</v>
      </c>
      <c r="J11" s="1515"/>
      <c r="K11" s="1515"/>
      <c r="L11" s="1516">
        <f>SUM(L5:L10)</f>
        <v>-1163.3164524672131</v>
      </c>
      <c r="M11" s="1516">
        <f>SUM(M5:M10)</f>
        <v>15841.760738493989</v>
      </c>
      <c r="N11" s="1517">
        <f>SUM(N5:N10)</f>
        <v>14678.444286026777</v>
      </c>
      <c r="P11" s="358"/>
      <c r="Q11" s="358"/>
      <c r="R11" s="9"/>
      <c r="S11" s="9"/>
      <c r="T11" s="9"/>
      <c r="U11" s="9"/>
      <c r="V11" s="9"/>
    </row>
    <row r="12" spans="1:22">
      <c r="A12" s="694"/>
      <c r="B12" s="694"/>
      <c r="C12" s="694"/>
      <c r="D12" s="694"/>
      <c r="E12" s="694"/>
      <c r="F12" s="694"/>
      <c r="G12" s="694"/>
      <c r="H12" s="694"/>
      <c r="I12" s="9"/>
      <c r="J12" s="694"/>
      <c r="K12" s="694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6" t="s">
        <v>1476</v>
      </c>
      <c r="B13" s="694"/>
      <c r="C13" s="358"/>
      <c r="D13" s="358"/>
      <c r="E13" s="358"/>
      <c r="F13" s="694"/>
      <c r="G13" s="694"/>
      <c r="H13" s="694"/>
      <c r="I13" s="694"/>
      <c r="J13" s="694"/>
      <c r="K13" s="694"/>
      <c r="L13" s="694"/>
      <c r="M13" s="694"/>
      <c r="N13" s="694"/>
      <c r="O13" s="358"/>
      <c r="P13" s="358"/>
      <c r="Q13" s="358"/>
      <c r="R13" s="9"/>
      <c r="S13" s="9"/>
      <c r="T13" s="9"/>
      <c r="U13" s="9"/>
      <c r="V13" s="9"/>
    </row>
    <row r="14" spans="1:22">
      <c r="A14" s="1748" t="s">
        <v>22</v>
      </c>
      <c r="B14" s="1749" t="s">
        <v>1477</v>
      </c>
      <c r="C14" s="358"/>
      <c r="D14" s="358"/>
      <c r="E14" s="358"/>
      <c r="F14" s="706" t="s">
        <v>953</v>
      </c>
      <c r="G14" s="706" t="s">
        <v>953</v>
      </c>
      <c r="H14" s="706" t="s">
        <v>953</v>
      </c>
      <c r="I14" s="706" t="s">
        <v>953</v>
      </c>
      <c r="J14" s="706" t="s">
        <v>953</v>
      </c>
      <c r="K14" s="706" t="s">
        <v>953</v>
      </c>
      <c r="L14" s="706" t="s">
        <v>953</v>
      </c>
      <c r="M14" s="706" t="s">
        <v>953</v>
      </c>
      <c r="N14" s="706" t="s">
        <v>953</v>
      </c>
      <c r="O14" s="706" t="s">
        <v>953</v>
      </c>
      <c r="P14" s="706" t="s">
        <v>953</v>
      </c>
      <c r="Q14" s="706" t="s">
        <v>953</v>
      </c>
      <c r="R14" s="9"/>
      <c r="S14" s="9"/>
      <c r="T14" s="9"/>
      <c r="U14" s="9"/>
      <c r="V14" s="9"/>
    </row>
    <row r="15" spans="1:22">
      <c r="A15" s="1748"/>
      <c r="B15" s="1749"/>
      <c r="C15" s="707">
        <f t="shared" ref="C15:P15" si="6">EDATE(D15,-1)</f>
        <v>44228</v>
      </c>
      <c r="D15" s="707">
        <f>EDATE(E15,-1)</f>
        <v>44256</v>
      </c>
      <c r="E15" s="707">
        <f>EDATE(F15,-1)</f>
        <v>44287</v>
      </c>
      <c r="F15" s="708">
        <f>EDATE(G15,-1)</f>
        <v>44317</v>
      </c>
      <c r="G15" s="708">
        <f t="shared" si="6"/>
        <v>44348</v>
      </c>
      <c r="H15" s="708">
        <f t="shared" si="6"/>
        <v>44378</v>
      </c>
      <c r="I15" s="708">
        <f t="shared" si="6"/>
        <v>44409</v>
      </c>
      <c r="J15" s="708">
        <f t="shared" si="6"/>
        <v>44440</v>
      </c>
      <c r="K15" s="708">
        <f t="shared" si="6"/>
        <v>44470</v>
      </c>
      <c r="L15" s="708">
        <f t="shared" si="6"/>
        <v>44501</v>
      </c>
      <c r="M15" s="708">
        <f t="shared" si="6"/>
        <v>44531</v>
      </c>
      <c r="N15" s="708">
        <f t="shared" si="6"/>
        <v>44562</v>
      </c>
      <c r="O15" s="708">
        <f t="shared" si="6"/>
        <v>44593</v>
      </c>
      <c r="P15" s="708">
        <f t="shared" si="6"/>
        <v>44621</v>
      </c>
      <c r="Q15" s="708">
        <f>DATE(YEAR(DataRevRea),MONTH(DataRevRea)-1,1)</f>
        <v>44652</v>
      </c>
      <c r="R15" s="9" t="s">
        <v>1016</v>
      </c>
      <c r="S15" s="9"/>
      <c r="T15" s="9"/>
      <c r="U15" s="9"/>
      <c r="V15" s="9"/>
    </row>
    <row r="16" spans="1:22">
      <c r="A16" s="709" t="s">
        <v>1478</v>
      </c>
      <c r="B16" s="710" t="s">
        <v>1005</v>
      </c>
      <c r="C16" s="711">
        <f>C40</f>
        <v>0</v>
      </c>
      <c r="D16" s="711">
        <f t="shared" ref="D16:E16" si="7">D40</f>
        <v>0</v>
      </c>
      <c r="E16" s="711">
        <f t="shared" si="7"/>
        <v>0</v>
      </c>
      <c r="F16" s="711">
        <f t="shared" ref="F16:Q21" si="8">DSUM(MercadoBase,$B16,F$14:F$15)</f>
        <v>0</v>
      </c>
      <c r="G16" s="711">
        <f t="shared" si="8"/>
        <v>0</v>
      </c>
      <c r="H16" s="711">
        <f t="shared" si="8"/>
        <v>0</v>
      </c>
      <c r="I16" s="711">
        <f t="shared" si="8"/>
        <v>0</v>
      </c>
      <c r="J16" s="711">
        <f t="shared" si="8"/>
        <v>0</v>
      </c>
      <c r="K16" s="711">
        <f t="shared" si="8"/>
        <v>0</v>
      </c>
      <c r="L16" s="711">
        <f t="shared" si="8"/>
        <v>0</v>
      </c>
      <c r="M16" s="711">
        <f t="shared" si="8"/>
        <v>0</v>
      </c>
      <c r="N16" s="711">
        <f t="shared" si="8"/>
        <v>0</v>
      </c>
      <c r="O16" s="711">
        <f t="shared" si="8"/>
        <v>0</v>
      </c>
      <c r="P16" s="711">
        <f t="shared" si="8"/>
        <v>0</v>
      </c>
      <c r="Q16" s="711">
        <f t="shared" si="8"/>
        <v>0</v>
      </c>
      <c r="R16" s="9"/>
      <c r="S16" s="9"/>
      <c r="T16" s="9"/>
      <c r="U16" s="9"/>
      <c r="V16" s="9"/>
    </row>
    <row r="17" spans="1:22">
      <c r="A17" s="709" t="s">
        <v>1479</v>
      </c>
      <c r="B17" s="710" t="s">
        <v>1006</v>
      </c>
      <c r="C17" s="711">
        <f t="shared" ref="C17:E21" si="9">C41</f>
        <v>0</v>
      </c>
      <c r="D17" s="711">
        <f t="shared" si="9"/>
        <v>0</v>
      </c>
      <c r="E17" s="711">
        <f t="shared" si="9"/>
        <v>0</v>
      </c>
      <c r="F17" s="711">
        <f t="shared" si="8"/>
        <v>0</v>
      </c>
      <c r="G17" s="711">
        <f t="shared" si="8"/>
        <v>0</v>
      </c>
      <c r="H17" s="711">
        <f t="shared" si="8"/>
        <v>0</v>
      </c>
      <c r="I17" s="711">
        <f t="shared" si="8"/>
        <v>0</v>
      </c>
      <c r="J17" s="711">
        <f t="shared" si="8"/>
        <v>0</v>
      </c>
      <c r="K17" s="711">
        <f t="shared" si="8"/>
        <v>0</v>
      </c>
      <c r="L17" s="711">
        <f t="shared" si="8"/>
        <v>0</v>
      </c>
      <c r="M17" s="711">
        <f t="shared" si="8"/>
        <v>0</v>
      </c>
      <c r="N17" s="711">
        <f t="shared" si="8"/>
        <v>0</v>
      </c>
      <c r="O17" s="711">
        <f t="shared" si="8"/>
        <v>0</v>
      </c>
      <c r="P17" s="711">
        <f t="shared" si="8"/>
        <v>0</v>
      </c>
      <c r="Q17" s="711">
        <f t="shared" si="8"/>
        <v>0</v>
      </c>
      <c r="R17" s="9"/>
      <c r="S17" s="9"/>
      <c r="T17" s="9"/>
      <c r="U17" s="9"/>
      <c r="V17" s="9"/>
    </row>
    <row r="18" spans="1:22">
      <c r="A18" s="709" t="s">
        <v>1480</v>
      </c>
      <c r="B18" s="710" t="s">
        <v>1007</v>
      </c>
      <c r="C18" s="711">
        <f t="shared" si="9"/>
        <v>0</v>
      </c>
      <c r="D18" s="711">
        <f t="shared" si="9"/>
        <v>0</v>
      </c>
      <c r="E18" s="711">
        <f t="shared" si="9"/>
        <v>0</v>
      </c>
      <c r="F18" s="1056">
        <f t="shared" ref="F18:Q18" si="10">IFERROR(DSUM(MercadoBase,$B18,F$14:F$15)+(DSUM(MercadoBase,$R$15,F$14:F$15)/($D$53/12))*$F$30,0)</f>
        <v>0</v>
      </c>
      <c r="G18" s="1056">
        <f t="shared" si="10"/>
        <v>0</v>
      </c>
      <c r="H18" s="1056">
        <f t="shared" si="10"/>
        <v>0</v>
      </c>
      <c r="I18" s="1056">
        <f t="shared" si="10"/>
        <v>0</v>
      </c>
      <c r="J18" s="1056">
        <f t="shared" si="10"/>
        <v>0</v>
      </c>
      <c r="K18" s="1056">
        <f t="shared" si="10"/>
        <v>0</v>
      </c>
      <c r="L18" s="1056">
        <f t="shared" si="10"/>
        <v>0</v>
      </c>
      <c r="M18" s="1056">
        <f t="shared" si="10"/>
        <v>0</v>
      </c>
      <c r="N18" s="1056">
        <f t="shared" si="10"/>
        <v>0</v>
      </c>
      <c r="O18" s="1056">
        <f t="shared" si="10"/>
        <v>0</v>
      </c>
      <c r="P18" s="1056">
        <f t="shared" si="10"/>
        <v>0</v>
      </c>
      <c r="Q18" s="1056">
        <f t="shared" si="10"/>
        <v>0</v>
      </c>
      <c r="R18" s="9"/>
      <c r="S18" s="9"/>
      <c r="T18" s="9"/>
      <c r="U18" s="9"/>
      <c r="V18" s="9"/>
    </row>
    <row r="19" spans="1:22">
      <c r="A19" s="709" t="s">
        <v>1481</v>
      </c>
      <c r="B19" s="710" t="s">
        <v>1008</v>
      </c>
      <c r="C19" s="711">
        <f t="shared" si="9"/>
        <v>0</v>
      </c>
      <c r="D19" s="711">
        <f t="shared" si="9"/>
        <v>0</v>
      </c>
      <c r="E19" s="711">
        <f t="shared" si="9"/>
        <v>0</v>
      </c>
      <c r="F19" s="711">
        <f t="shared" si="8"/>
        <v>2757.5084160000051</v>
      </c>
      <c r="G19" s="711">
        <f t="shared" si="8"/>
        <v>3019.4191872000047</v>
      </c>
      <c r="H19" s="711">
        <f t="shared" si="8"/>
        <v>2931.9937919999988</v>
      </c>
      <c r="I19" s="711">
        <f t="shared" si="8"/>
        <v>2542.0966272000028</v>
      </c>
      <c r="J19" s="711">
        <f t="shared" si="8"/>
        <v>2991.9217535999965</v>
      </c>
      <c r="K19" s="711">
        <f t="shared" si="8"/>
        <v>2635.5513600000027</v>
      </c>
      <c r="L19" s="711">
        <f t="shared" si="8"/>
        <v>3052.4435135999984</v>
      </c>
      <c r="M19" s="711">
        <f t="shared" si="8"/>
        <v>2973.9707711999945</v>
      </c>
      <c r="N19" s="711">
        <f t="shared" si="8"/>
        <v>2536.9808256000015</v>
      </c>
      <c r="O19" s="711">
        <f t="shared" si="8"/>
        <v>2601.0196992000006</v>
      </c>
      <c r="P19" s="711">
        <f t="shared" si="8"/>
        <v>2809.3059071999969</v>
      </c>
      <c r="Q19" s="711">
        <f t="shared" si="8"/>
        <v>3423.2020991999998</v>
      </c>
      <c r="R19" s="9"/>
      <c r="S19" s="9"/>
      <c r="T19" s="9"/>
      <c r="U19" s="9"/>
      <c r="V19" s="9"/>
    </row>
    <row r="20" spans="1:22">
      <c r="A20" s="709" t="s">
        <v>1482</v>
      </c>
      <c r="B20" s="710" t="s">
        <v>1009</v>
      </c>
      <c r="C20" s="711">
        <f t="shared" si="9"/>
        <v>0</v>
      </c>
      <c r="D20" s="711">
        <f t="shared" si="9"/>
        <v>0</v>
      </c>
      <c r="E20" s="711">
        <f t="shared" si="9"/>
        <v>0</v>
      </c>
      <c r="F20" s="711">
        <f t="shared" si="8"/>
        <v>19022.248319999995</v>
      </c>
      <c r="G20" s="711">
        <f t="shared" si="8"/>
        <v>18808.100479999997</v>
      </c>
      <c r="H20" s="711">
        <f t="shared" si="8"/>
        <v>17075.549439999995</v>
      </c>
      <c r="I20" s="711">
        <f t="shared" si="8"/>
        <v>17059.926879999995</v>
      </c>
      <c r="J20" s="711">
        <f t="shared" si="8"/>
        <v>17803.049119999996</v>
      </c>
      <c r="K20" s="711">
        <f t="shared" si="8"/>
        <v>18748.442399999996</v>
      </c>
      <c r="L20" s="711">
        <f t="shared" si="8"/>
        <v>22694.09808</v>
      </c>
      <c r="M20" s="711">
        <f t="shared" si="8"/>
        <v>20127.795679999996</v>
      </c>
      <c r="N20" s="711">
        <f t="shared" si="8"/>
        <v>19399.565119999999</v>
      </c>
      <c r="O20" s="711">
        <f t="shared" si="8"/>
        <v>19441.682079999999</v>
      </c>
      <c r="P20" s="711">
        <f t="shared" si="8"/>
        <v>20023.005759999996</v>
      </c>
      <c r="Q20" s="711">
        <f t="shared" si="8"/>
        <v>18527.259839999999</v>
      </c>
      <c r="R20" s="9"/>
      <c r="S20" s="9"/>
      <c r="T20" s="9"/>
      <c r="U20" s="9"/>
      <c r="V20" s="9"/>
    </row>
    <row r="21" spans="1:22">
      <c r="A21" s="709" t="s">
        <v>1483</v>
      </c>
      <c r="B21" s="710" t="s">
        <v>1010</v>
      </c>
      <c r="C21" s="711">
        <f t="shared" si="9"/>
        <v>0</v>
      </c>
      <c r="D21" s="711">
        <f t="shared" si="9"/>
        <v>0</v>
      </c>
      <c r="E21" s="711">
        <f t="shared" si="9"/>
        <v>0</v>
      </c>
      <c r="F21" s="711">
        <f t="shared" si="8"/>
        <v>199.65815039999998</v>
      </c>
      <c r="G21" s="711">
        <f t="shared" si="8"/>
        <v>198.49734720000001</v>
      </c>
      <c r="H21" s="711">
        <f t="shared" si="8"/>
        <v>330.82891199999989</v>
      </c>
      <c r="I21" s="711">
        <f t="shared" si="8"/>
        <v>386.54746560000001</v>
      </c>
      <c r="J21" s="711">
        <f t="shared" si="8"/>
        <v>867.70039200000008</v>
      </c>
      <c r="K21" s="711">
        <f t="shared" si="8"/>
        <v>4085.4468623999992</v>
      </c>
      <c r="L21" s="711">
        <f t="shared" si="8"/>
        <v>3500.4020495999994</v>
      </c>
      <c r="M21" s="711">
        <f t="shared" si="8"/>
        <v>3442.9422912</v>
      </c>
      <c r="N21" s="711">
        <f t="shared" si="8"/>
        <v>4795.2780192</v>
      </c>
      <c r="O21" s="711">
        <f t="shared" si="8"/>
        <v>3261.856992</v>
      </c>
      <c r="P21" s="711">
        <f>DSUM(MercadoBase,$B21,P$14:P$15)</f>
        <v>3573.5326511999997</v>
      </c>
      <c r="Q21" s="711">
        <f t="shared" si="8"/>
        <v>2049.9784512000001</v>
      </c>
      <c r="R21" s="9"/>
      <c r="S21" s="9"/>
      <c r="T21" s="9"/>
      <c r="U21" s="9"/>
      <c r="V21" s="9"/>
    </row>
    <row r="22" spans="1:22">
      <c r="A22" s="1518" t="s">
        <v>1484</v>
      </c>
      <c r="B22" s="1519" t="s">
        <v>1278</v>
      </c>
      <c r="C22" s="1520">
        <f>VLOOKUP($Q$15,Índices!$B:$F,2,FALSE)/VLOOKUP(EDATE(C15,-1),Índices!$B:$F,2,FALSE)</f>
        <v>1.2283635294166724</v>
      </c>
      <c r="D22" s="1520">
        <f>VLOOKUP($Q$15,Índices!$B:$F,2,FALSE)/VLOOKUP(EDATE(D15,-1),Índices!$B:$F,2,FALSE)</f>
        <v>1.1981012407139726</v>
      </c>
      <c r="E22" s="1520">
        <f>VLOOKUP($Q$15,Índices!$B:$F,2,FALSE)/VLOOKUP(EDATE(E15,-1),Índices!$B:$F,2,FALSE)</f>
        <v>1.1639026906520888</v>
      </c>
      <c r="F22" s="1520">
        <f>VLOOKUP($Q$15,Índices!$B:$F,2,FALSE)/VLOOKUP(EDATE(F15,-1),Índices!$B:$F,2,FALSE)</f>
        <v>1.1466086325010147</v>
      </c>
      <c r="G22" s="1520">
        <f>VLOOKUP($Q$15,Índices!$B:$F,2,FALSE)/VLOOKUP(EDATE(G15,-1),Índices!$B:$F,2,FALSE)</f>
        <v>1.1014879980996719</v>
      </c>
      <c r="H22" s="1520">
        <f>VLOOKUP($Q$15,Índices!$B:$F,2,FALSE)/VLOOKUP(EDATE(H15,-1),Índices!$B:$F,2,FALSE)</f>
        <v>1.0948897170580432</v>
      </c>
      <c r="I22" s="1520">
        <f>VLOOKUP($Q$15,Índices!$B:$F,2,FALSE)/VLOOKUP(EDATE(I15,-1),Índices!$B:$F,2,FALSE)</f>
        <v>1.0864444536687283</v>
      </c>
      <c r="J22" s="1520">
        <f>VLOOKUP($Q$15,Índices!$B:$F,2,FALSE)/VLOOKUP(EDATE(J15,-1),Índices!$B:$F,2,FALSE)</f>
        <v>1.0792814009108487</v>
      </c>
      <c r="K22" s="1520">
        <f>VLOOKUP($Q$15,Índices!$B:$F,2,FALSE)/VLOOKUP(EDATE(K15,-1),Índices!$B:$F,2,FALSE)</f>
        <v>1.0862270269073846</v>
      </c>
      <c r="L22" s="1520">
        <f>VLOOKUP($Q$15,Índices!$B:$F,2,FALSE)/VLOOKUP(EDATE(L15,-1),Índices!$B:$F,2,FALSE)</f>
        <v>1.0792883239269742</v>
      </c>
      <c r="M22" s="1520">
        <f>VLOOKUP($Q$15,Índices!$B:$F,2,FALSE)/VLOOKUP(EDATE(M15,-1),Índices!$B:$F,2,FALSE)</f>
        <v>1.0790905584420463</v>
      </c>
      <c r="N22" s="1520">
        <f>VLOOKUP($Q$15,Índices!$B:$F,2,FALSE)/VLOOKUP(EDATE(N15,-1),Índices!$B:$F,2,FALSE)</f>
        <v>1.0697746024479831</v>
      </c>
      <c r="O22" s="1520">
        <f>VLOOKUP($Q$15,Índices!$B:$F,2,FALSE)/VLOOKUP(EDATE(O15,-1),Índices!$B:$F,2,FALSE)</f>
        <v>1.0506780113095551</v>
      </c>
      <c r="P22" s="1520">
        <f>VLOOKUP($Q$15,Índices!$B:$F,2,FALSE)/VLOOKUP(EDATE(P15,-1),Índices!$B:$F,2,FALSE)</f>
        <v>1.0317665691965106</v>
      </c>
      <c r="Q22" s="1520">
        <f>VLOOKUP($Q$15,Índices!$B:$F,2,FALSE)/VLOOKUP(EDATE(Q15,-1),Índices!$B:$F,2,FALSE)</f>
        <v>1.014112920585009</v>
      </c>
      <c r="R22" s="9"/>
      <c r="S22" s="9"/>
      <c r="T22" s="9"/>
      <c r="U22" s="9"/>
      <c r="V22" s="9"/>
    </row>
    <row r="23" spans="1:22">
      <c r="A23" s="1521" t="s">
        <v>1485</v>
      </c>
      <c r="B23" s="1522"/>
      <c r="C23" s="1523">
        <f t="shared" ref="C23:Q23" si="11">SUM(C16:C21)*C22</f>
        <v>0</v>
      </c>
      <c r="D23" s="1523">
        <f t="shared" si="11"/>
        <v>0</v>
      </c>
      <c r="E23" s="1523">
        <f t="shared" si="11"/>
        <v>0</v>
      </c>
      <c r="F23" s="1524">
        <f>SUM(F16:F21)*F22</f>
        <v>25201.786846067549</v>
      </c>
      <c r="G23" s="1524">
        <f t="shared" si="11"/>
        <v>24261.39338730077</v>
      </c>
      <c r="H23" s="1524">
        <f t="shared" si="11"/>
        <v>22268.274522165339</v>
      </c>
      <c r="I23" s="1524">
        <f t="shared" si="11"/>
        <v>21716.472070162297</v>
      </c>
      <c r="J23" s="1524">
        <f t="shared" si="11"/>
        <v>23380.118191007947</v>
      </c>
      <c r="K23" s="1524">
        <f t="shared" si="11"/>
        <v>27665.594764263715</v>
      </c>
      <c r="L23" s="1524">
        <f t="shared" si="11"/>
        <v>31565.884784655998</v>
      </c>
      <c r="M23" s="1524">
        <f t="shared" si="11"/>
        <v>28644.144580517874</v>
      </c>
      <c r="N23" s="1524">
        <f t="shared" si="11"/>
        <v>28597.02635465339</v>
      </c>
      <c r="O23" s="1524">
        <f t="shared" si="11"/>
        <v>26586.943486790176</v>
      </c>
      <c r="P23" s="1524">
        <f t="shared" si="11"/>
        <v>27244.66739913273</v>
      </c>
      <c r="Q23" s="1524">
        <f t="shared" si="11"/>
        <v>24339.156699634957</v>
      </c>
      <c r="R23" s="9"/>
      <c r="S23" s="9"/>
      <c r="T23" s="9"/>
      <c r="U23" s="9"/>
      <c r="V23" s="9"/>
    </row>
    <row r="24" spans="1:22">
      <c r="A24" s="9"/>
      <c r="B24" s="9"/>
      <c r="C24" s="9" t="s">
        <v>1486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6" t="s">
        <v>1487</v>
      </c>
      <c r="B25" s="694"/>
      <c r="C25" s="694"/>
      <c r="D25" s="694"/>
      <c r="E25" s="694"/>
      <c r="F25" s="694"/>
      <c r="G25" s="694"/>
      <c r="H25" s="694"/>
      <c r="I25" s="694"/>
      <c r="J25" s="694"/>
      <c r="K25" s="694"/>
      <c r="L25" s="694"/>
      <c r="M25" s="694"/>
      <c r="N25" s="694"/>
      <c r="O25" s="358"/>
      <c r="P25" s="358"/>
      <c r="Q25" s="358"/>
      <c r="R25" s="9"/>
      <c r="S25" s="9"/>
      <c r="T25" s="9"/>
      <c r="U25" s="9"/>
      <c r="V25" s="9"/>
    </row>
    <row r="26" spans="1:22">
      <c r="A26" s="1748" t="s">
        <v>22</v>
      </c>
      <c r="B26" s="1749" t="s">
        <v>1477</v>
      </c>
      <c r="C26" s="706" t="s">
        <v>953</v>
      </c>
      <c r="D26" s="706" t="s">
        <v>953</v>
      </c>
      <c r="E26" s="706" t="s">
        <v>953</v>
      </c>
      <c r="F26" s="706" t="s">
        <v>953</v>
      </c>
      <c r="G26" s="706" t="s">
        <v>953</v>
      </c>
      <c r="H26" s="706" t="s">
        <v>953</v>
      </c>
      <c r="I26" s="706" t="s">
        <v>953</v>
      </c>
      <c r="J26" s="706" t="s">
        <v>953</v>
      </c>
      <c r="K26" s="706" t="s">
        <v>953</v>
      </c>
      <c r="L26" s="706" t="s">
        <v>953</v>
      </c>
      <c r="M26" s="706" t="s">
        <v>953</v>
      </c>
      <c r="N26" s="706" t="s">
        <v>953</v>
      </c>
      <c r="O26" s="706" t="s">
        <v>953</v>
      </c>
      <c r="P26" s="706" t="s">
        <v>953</v>
      </c>
      <c r="Q26" s="706" t="s">
        <v>953</v>
      </c>
      <c r="R26" s="9"/>
      <c r="S26" s="9"/>
      <c r="T26" s="9"/>
      <c r="U26" s="9"/>
      <c r="V26" s="9"/>
    </row>
    <row r="27" spans="1:22">
      <c r="A27" s="1748"/>
      <c r="B27" s="1749"/>
      <c r="C27" s="707">
        <f t="shared" ref="C27:Q27" si="12">C15</f>
        <v>44228</v>
      </c>
      <c r="D27" s="707">
        <f t="shared" si="12"/>
        <v>44256</v>
      </c>
      <c r="E27" s="707">
        <f t="shared" si="12"/>
        <v>44287</v>
      </c>
      <c r="F27" s="708">
        <f>F15</f>
        <v>44317</v>
      </c>
      <c r="G27" s="708">
        <f t="shared" si="12"/>
        <v>44348</v>
      </c>
      <c r="H27" s="708">
        <f t="shared" si="12"/>
        <v>44378</v>
      </c>
      <c r="I27" s="708">
        <f t="shared" si="12"/>
        <v>44409</v>
      </c>
      <c r="J27" s="708">
        <f t="shared" si="12"/>
        <v>44440</v>
      </c>
      <c r="K27" s="708">
        <f t="shared" si="12"/>
        <v>44470</v>
      </c>
      <c r="L27" s="708">
        <f t="shared" si="12"/>
        <v>44501</v>
      </c>
      <c r="M27" s="708">
        <f t="shared" si="12"/>
        <v>44531</v>
      </c>
      <c r="N27" s="708">
        <f t="shared" si="12"/>
        <v>44562</v>
      </c>
      <c r="O27" s="708">
        <f t="shared" si="12"/>
        <v>44593</v>
      </c>
      <c r="P27" s="708">
        <f t="shared" si="12"/>
        <v>44621</v>
      </c>
      <c r="Q27" s="708">
        <f t="shared" si="12"/>
        <v>44652</v>
      </c>
      <c r="S27" s="9"/>
      <c r="T27" s="9"/>
      <c r="U27" s="9"/>
      <c r="V27" s="9"/>
    </row>
    <row r="28" spans="1:22">
      <c r="A28" s="709" t="s">
        <v>1478</v>
      </c>
      <c r="B28" s="710" t="s">
        <v>773</v>
      </c>
      <c r="C28" s="711">
        <f>IF(C40=0,0,VLOOKUP($B28,BD!$B$61:$C$66,2,FALSE))</f>
        <v>0</v>
      </c>
      <c r="D28" s="711">
        <f>IF(D40=0,0,VLOOKUP($B28,BD!$B$61:$C$66,2,FALSE))</f>
        <v>0</v>
      </c>
      <c r="E28" s="711">
        <f>IF(E40=0,0,VLOOKUP($B28,BD!$B$61:$C$66,2,FALSE))</f>
        <v>0</v>
      </c>
      <c r="F28" s="711">
        <f>VLOOKUP($B28,BD!$B$61:$C$66,2,FALSE)</f>
        <v>0</v>
      </c>
      <c r="G28" s="711">
        <f>VLOOKUP($B28,BD!$B$61:$C$66,2,FALSE)</f>
        <v>0</v>
      </c>
      <c r="H28" s="711">
        <f>VLOOKUP($B28,BD!$B$61:$C$66,2,FALSE)</f>
        <v>0</v>
      </c>
      <c r="I28" s="711">
        <f>VLOOKUP($B28,BD!$B$61:$C$66,2,FALSE)</f>
        <v>0</v>
      </c>
      <c r="J28" s="711">
        <f>VLOOKUP($B28,BD!$B$61:$C$66,2,FALSE)</f>
        <v>0</v>
      </c>
      <c r="K28" s="711">
        <f>VLOOKUP($B28,BD!$B$61:$C$66,2,FALSE)</f>
        <v>0</v>
      </c>
      <c r="L28" s="711">
        <f>VLOOKUP($B28,BD!$B$61:$C$66,2,FALSE)</f>
        <v>0</v>
      </c>
      <c r="M28" s="711">
        <f>VLOOKUP($B28,BD!$B$61:$C$66,2,FALSE)</f>
        <v>0</v>
      </c>
      <c r="N28" s="711">
        <f>VLOOKUP($B28,BD!$B$61:$C$66,2,FALSE)</f>
        <v>0</v>
      </c>
      <c r="O28" s="711">
        <f>VLOOKUP($B28,BD!$B$61:$C$66,2,FALSE)</f>
        <v>0</v>
      </c>
      <c r="P28" s="711">
        <f>VLOOKUP($B28,BD!$B$61:$C$66,2,FALSE)</f>
        <v>0</v>
      </c>
      <c r="Q28" s="711">
        <f>VLOOKUP($B28,BD!$B$61:$C$66,2,FALSE)</f>
        <v>0</v>
      </c>
      <c r="S28" s="9"/>
      <c r="T28" s="9"/>
      <c r="U28" s="9"/>
      <c r="V28" s="9"/>
    </row>
    <row r="29" spans="1:22">
      <c r="A29" s="709" t="s">
        <v>1479</v>
      </c>
      <c r="B29" s="710" t="s">
        <v>775</v>
      </c>
      <c r="C29" s="711">
        <f>IF(C41=0,0,VLOOKUP($B29,BD!$B$61:$C$66,2,FALSE))</f>
        <v>0</v>
      </c>
      <c r="D29" s="711">
        <f>IF(D41=0,0,VLOOKUP($B29,BD!$B$61:$C$66,2,FALSE))</f>
        <v>0</v>
      </c>
      <c r="E29" s="711">
        <f>IF(E41=0,0,VLOOKUP($B29,BD!$B$61:$C$66,2,FALSE))</f>
        <v>0</v>
      </c>
      <c r="F29" s="711">
        <f>VLOOKUP($B29,BD!$B$61:$C$66,2,FALSE)</f>
        <v>0</v>
      </c>
      <c r="G29" s="711">
        <f>VLOOKUP($B29,BD!$B$61:$C$66,2,FALSE)</f>
        <v>0</v>
      </c>
      <c r="H29" s="711">
        <f>VLOOKUP($B29,BD!$B$61:$C$66,2,FALSE)</f>
        <v>0</v>
      </c>
      <c r="I29" s="711">
        <f>VLOOKUP($B29,BD!$B$61:$C$66,2,FALSE)</f>
        <v>0</v>
      </c>
      <c r="J29" s="711">
        <f>VLOOKUP($B29,BD!$B$61:$C$66,2,FALSE)</f>
        <v>0</v>
      </c>
      <c r="K29" s="711">
        <f>VLOOKUP($B29,BD!$B$61:$C$66,2,FALSE)</f>
        <v>0</v>
      </c>
      <c r="L29" s="711">
        <f>VLOOKUP($B29,BD!$B$61:$C$66,2,FALSE)</f>
        <v>0</v>
      </c>
      <c r="M29" s="711">
        <f>VLOOKUP($B29,BD!$B$61:$C$66,2,FALSE)</f>
        <v>0</v>
      </c>
      <c r="N29" s="711">
        <f>VLOOKUP($B29,BD!$B$61:$C$66,2,FALSE)</f>
        <v>0</v>
      </c>
      <c r="O29" s="711">
        <f>VLOOKUP($B29,BD!$B$61:$C$66,2,FALSE)</f>
        <v>0</v>
      </c>
      <c r="P29" s="711">
        <f>VLOOKUP($B29,BD!$B$61:$C$66,2,FALSE)</f>
        <v>0</v>
      </c>
      <c r="Q29" s="711">
        <f>VLOOKUP($B29,BD!$B$61:$C$66,2,FALSE)</f>
        <v>0</v>
      </c>
      <c r="S29" s="9"/>
      <c r="T29" s="9"/>
      <c r="U29" s="9"/>
      <c r="V29" s="9"/>
    </row>
    <row r="30" spans="1:22">
      <c r="A30" s="709" t="s">
        <v>1480</v>
      </c>
      <c r="B30" s="710" t="s">
        <v>777</v>
      </c>
      <c r="C30" s="711">
        <f>IF(C42=0,0,VLOOKUP($B30,BD!$B$61:$C$66,2,FALSE))</f>
        <v>0</v>
      </c>
      <c r="D30" s="711">
        <f>IF(D42=0,0,VLOOKUP($B30,BD!$B$61:$C$66,2,FALSE))</f>
        <v>0</v>
      </c>
      <c r="E30" s="711">
        <f>IF(E42=0,0,VLOOKUP($B30,BD!$B$61:$C$66,2,FALSE))</f>
        <v>0</v>
      </c>
      <c r="F30" s="1056">
        <f>VLOOKUP($B30,BD!$B$61:$C$66,2,FALSE)</f>
        <v>0</v>
      </c>
      <c r="G30" s="1056">
        <f>VLOOKUP($B30,BD!$B$61:$C$66,2,FALSE)</f>
        <v>0</v>
      </c>
      <c r="H30" s="1056">
        <f>VLOOKUP($B30,BD!$B$61:$C$66,2,FALSE)</f>
        <v>0</v>
      </c>
      <c r="I30" s="1056">
        <f>VLOOKUP($B30,BD!$B$61:$C$66,2,FALSE)</f>
        <v>0</v>
      </c>
      <c r="J30" s="1056">
        <f>VLOOKUP($B30,BD!$B$61:$C$66,2,FALSE)</f>
        <v>0</v>
      </c>
      <c r="K30" s="1056">
        <f>VLOOKUP($B30,BD!$B$61:$C$66,2,FALSE)</f>
        <v>0</v>
      </c>
      <c r="L30" s="1056">
        <f>VLOOKUP($B30,BD!$B$61:$C$66,2,FALSE)</f>
        <v>0</v>
      </c>
      <c r="M30" s="1056">
        <f>VLOOKUP($B30,BD!$B$61:$C$66,2,FALSE)</f>
        <v>0</v>
      </c>
      <c r="N30" s="1056">
        <f>VLOOKUP($B30,BD!$B$61:$C$66,2,FALSE)</f>
        <v>0</v>
      </c>
      <c r="O30" s="1056">
        <f>VLOOKUP($B30,BD!$B$61:$C$66,2,FALSE)</f>
        <v>0</v>
      </c>
      <c r="P30" s="1056">
        <f>VLOOKUP($B30,BD!$B$61:$C$66,2,FALSE)</f>
        <v>0</v>
      </c>
      <c r="Q30" s="1056">
        <f>VLOOKUP($B30,BD!$B$61:$C$66,2,FALSE)</f>
        <v>0</v>
      </c>
      <c r="S30" s="9"/>
      <c r="T30" s="9"/>
      <c r="U30" s="9"/>
      <c r="V30" s="9"/>
    </row>
    <row r="31" spans="1:22">
      <c r="A31" s="709" t="s">
        <v>1481</v>
      </c>
      <c r="B31" s="710" t="s">
        <v>778</v>
      </c>
      <c r="C31" s="711">
        <f>IF(C43=0,0,VLOOKUP($B31,BD!$B$61:$C$66,2,FALSE))</f>
        <v>0</v>
      </c>
      <c r="D31" s="711">
        <f>IF(D43=0,0,VLOOKUP($B31,BD!$B$61:$C$66,2,FALSE))</f>
        <v>0</v>
      </c>
      <c r="E31" s="711">
        <f>IF(E43=0,0,VLOOKUP($B31,BD!$B$61:$C$66,2,FALSE))</f>
        <v>0</v>
      </c>
      <c r="F31" s="711">
        <f>VLOOKUP($B31,BD!$B$61:$C$66,2,FALSE)</f>
        <v>2657.85</v>
      </c>
      <c r="G31" s="711">
        <f>VLOOKUP($B31,BD!$B$61:$C$66,2,FALSE)</f>
        <v>2657.85</v>
      </c>
      <c r="H31" s="711">
        <f>VLOOKUP($B31,BD!$B$61:$C$66,2,FALSE)</f>
        <v>2657.85</v>
      </c>
      <c r="I31" s="711">
        <f>VLOOKUP($B31,BD!$B$61:$C$66,2,FALSE)</f>
        <v>2657.85</v>
      </c>
      <c r="J31" s="711">
        <f>VLOOKUP($B31,BD!$B$61:$C$66,2,FALSE)</f>
        <v>2657.85</v>
      </c>
      <c r="K31" s="711">
        <f>VLOOKUP($B31,BD!$B$61:$C$66,2,FALSE)</f>
        <v>2657.85</v>
      </c>
      <c r="L31" s="711">
        <f>VLOOKUP($B31,BD!$B$61:$C$66,2,FALSE)</f>
        <v>2657.85</v>
      </c>
      <c r="M31" s="711">
        <f>VLOOKUP($B31,BD!$B$61:$C$66,2,FALSE)</f>
        <v>2657.85</v>
      </c>
      <c r="N31" s="711">
        <f>VLOOKUP($B31,BD!$B$61:$C$66,2,FALSE)</f>
        <v>2657.85</v>
      </c>
      <c r="O31" s="711">
        <f>VLOOKUP($B31,BD!$B$61:$C$66,2,FALSE)</f>
        <v>2657.85</v>
      </c>
      <c r="P31" s="711">
        <f>VLOOKUP($B31,BD!$B$61:$C$66,2,FALSE)</f>
        <v>2657.85</v>
      </c>
      <c r="Q31" s="711">
        <f>VLOOKUP($B31,BD!$B$61:$C$66,2,FALSE)</f>
        <v>2657.85</v>
      </c>
      <c r="S31" s="9"/>
      <c r="T31" s="9"/>
      <c r="U31" s="9"/>
      <c r="V31" s="9"/>
    </row>
    <row r="32" spans="1:22">
      <c r="A32" s="709" t="s">
        <v>1482</v>
      </c>
      <c r="B32" s="710" t="s">
        <v>781</v>
      </c>
      <c r="C32" s="711">
        <f>IF(C44=0,0,VLOOKUP($B32,BD!$B$61:$C$66,2,FALSE))</f>
        <v>0</v>
      </c>
      <c r="D32" s="711">
        <f>IF(D44=0,0,VLOOKUP($B32,BD!$B$61:$C$66,2,FALSE))</f>
        <v>0</v>
      </c>
      <c r="E32" s="711">
        <f>IF(E44=0,0,VLOOKUP($B32,BD!$B$61:$C$66,2,FALSE))</f>
        <v>0</v>
      </c>
      <c r="F32" s="711">
        <f>VLOOKUP($B32,BD!$B$61:$C$66,2,FALSE)</f>
        <v>21118.61</v>
      </c>
      <c r="G32" s="711">
        <f>VLOOKUP($B32,BD!$B$61:$C$66,2,FALSE)</f>
        <v>21118.61</v>
      </c>
      <c r="H32" s="711">
        <f>VLOOKUP($B32,BD!$B$61:$C$66,2,FALSE)</f>
        <v>21118.61</v>
      </c>
      <c r="I32" s="711">
        <f>VLOOKUP($B32,BD!$B$61:$C$66,2,FALSE)</f>
        <v>21118.61</v>
      </c>
      <c r="J32" s="711">
        <f>VLOOKUP($B32,BD!$B$61:$C$66,2,FALSE)</f>
        <v>21118.61</v>
      </c>
      <c r="K32" s="711">
        <f>VLOOKUP($B32,BD!$B$61:$C$66,2,FALSE)</f>
        <v>21118.61</v>
      </c>
      <c r="L32" s="711">
        <f>VLOOKUP($B32,BD!$B$61:$C$66,2,FALSE)</f>
        <v>21118.61</v>
      </c>
      <c r="M32" s="711">
        <f>VLOOKUP($B32,BD!$B$61:$C$66,2,FALSE)</f>
        <v>21118.61</v>
      </c>
      <c r="N32" s="711">
        <f>VLOOKUP($B32,BD!$B$61:$C$66,2,FALSE)</f>
        <v>21118.61</v>
      </c>
      <c r="O32" s="711">
        <f>VLOOKUP($B32,BD!$B$61:$C$66,2,FALSE)</f>
        <v>21118.61</v>
      </c>
      <c r="P32" s="711">
        <f>VLOOKUP($B32,BD!$B$61:$C$66,2,FALSE)</f>
        <v>21118.61</v>
      </c>
      <c r="Q32" s="711">
        <f>VLOOKUP($B32,BD!$B$61:$C$66,2,FALSE)</f>
        <v>21118.61</v>
      </c>
      <c r="S32" s="9"/>
      <c r="T32" s="9"/>
      <c r="U32" s="9"/>
      <c r="V32" s="9"/>
    </row>
    <row r="33" spans="1:22">
      <c r="A33" s="712" t="s">
        <v>1483</v>
      </c>
      <c r="B33" s="710" t="s">
        <v>783</v>
      </c>
      <c r="C33" s="711">
        <f>IF(C45=0,0,VLOOKUP($B33,BD!$B$61:$C$66,2,FALSE))</f>
        <v>0</v>
      </c>
      <c r="D33" s="711">
        <f>IF(D45=0,0,VLOOKUP($B33,BD!$B$61:$C$66,2,FALSE))</f>
        <v>0</v>
      </c>
      <c r="E33" s="711">
        <f>IF(E45=0,0,VLOOKUP($B33,BD!$B$61:$C$66,2,FALSE))</f>
        <v>0</v>
      </c>
      <c r="F33" s="711">
        <f>VLOOKUP($B33,BD!$B$61:$C$66,2,FALSE)</f>
        <v>1412.4</v>
      </c>
      <c r="G33" s="711">
        <f>VLOOKUP($B33,BD!$B$61:$C$66,2,FALSE)</f>
        <v>1412.4</v>
      </c>
      <c r="H33" s="711">
        <f>VLOOKUP($B33,BD!$B$61:$C$66,2,FALSE)</f>
        <v>1412.4</v>
      </c>
      <c r="I33" s="711">
        <f>VLOOKUP($B33,BD!$B$61:$C$66,2,FALSE)</f>
        <v>1412.4</v>
      </c>
      <c r="J33" s="711">
        <f>VLOOKUP($B33,BD!$B$61:$C$66,2,FALSE)</f>
        <v>1412.4</v>
      </c>
      <c r="K33" s="711">
        <f>VLOOKUP($B33,BD!$B$61:$C$66,2,FALSE)</f>
        <v>1412.4</v>
      </c>
      <c r="L33" s="711">
        <f>VLOOKUP($B33,BD!$B$61:$C$66,2,FALSE)</f>
        <v>1412.4</v>
      </c>
      <c r="M33" s="711">
        <f>VLOOKUP($B33,BD!$B$61:$C$66,2,FALSE)</f>
        <v>1412.4</v>
      </c>
      <c r="N33" s="711">
        <f>VLOOKUP($B33,BD!$B$61:$C$66,2,FALSE)</f>
        <v>1412.4</v>
      </c>
      <c r="O33" s="711">
        <f>VLOOKUP($B33,BD!$B$61:$C$66,2,FALSE)</f>
        <v>1412.4</v>
      </c>
      <c r="P33" s="711">
        <f>VLOOKUP($B33,BD!$B$61:$C$66,2,FALSE)</f>
        <v>1412.4</v>
      </c>
      <c r="Q33" s="711">
        <f>VLOOKUP($B33,BD!$B$61:$C$66,2,FALSE)</f>
        <v>1412.4</v>
      </c>
      <c r="S33" s="9"/>
      <c r="T33" s="9"/>
      <c r="U33" s="9"/>
      <c r="V33" s="9"/>
    </row>
    <row r="34" spans="1:22">
      <c r="A34" s="1518" t="s">
        <v>1484</v>
      </c>
      <c r="B34" s="1519" t="s">
        <v>1278</v>
      </c>
      <c r="C34" s="1525">
        <f t="shared" ref="C34:Q34" si="13">C22</f>
        <v>1.2283635294166724</v>
      </c>
      <c r="D34" s="1525">
        <f t="shared" si="13"/>
        <v>1.1981012407139726</v>
      </c>
      <c r="E34" s="1525">
        <f t="shared" si="13"/>
        <v>1.1639026906520888</v>
      </c>
      <c r="F34" s="1520">
        <f t="shared" si="13"/>
        <v>1.1466086325010147</v>
      </c>
      <c r="G34" s="1520">
        <f t="shared" si="13"/>
        <v>1.1014879980996719</v>
      </c>
      <c r="H34" s="1520">
        <f t="shared" si="13"/>
        <v>1.0948897170580432</v>
      </c>
      <c r="I34" s="1520">
        <f t="shared" si="13"/>
        <v>1.0864444536687283</v>
      </c>
      <c r="J34" s="1520">
        <f t="shared" si="13"/>
        <v>1.0792814009108487</v>
      </c>
      <c r="K34" s="1520">
        <f t="shared" si="13"/>
        <v>1.0862270269073846</v>
      </c>
      <c r="L34" s="1520">
        <f t="shared" si="13"/>
        <v>1.0792883239269742</v>
      </c>
      <c r="M34" s="1520">
        <f t="shared" si="13"/>
        <v>1.0790905584420463</v>
      </c>
      <c r="N34" s="1520">
        <f t="shared" si="13"/>
        <v>1.0697746024479831</v>
      </c>
      <c r="O34" s="1520">
        <f t="shared" si="13"/>
        <v>1.0506780113095551</v>
      </c>
      <c r="P34" s="1520">
        <f t="shared" si="13"/>
        <v>1.0317665691965106</v>
      </c>
      <c r="Q34" s="1520">
        <f t="shared" si="13"/>
        <v>1.014112920585009</v>
      </c>
      <c r="S34" s="9"/>
      <c r="T34" s="9"/>
      <c r="U34" s="9"/>
      <c r="V34" s="9"/>
    </row>
    <row r="35" spans="1:22">
      <c r="A35" s="1521" t="s">
        <v>1485</v>
      </c>
      <c r="B35" s="1522"/>
      <c r="C35" s="1523">
        <f>SUM(C28:C33)*C34</f>
        <v>0</v>
      </c>
      <c r="D35" s="1523">
        <f t="shared" ref="D35:Q35" si="14">SUM(D28:D33)*D34</f>
        <v>0</v>
      </c>
      <c r="E35" s="1523">
        <f t="shared" si="14"/>
        <v>0</v>
      </c>
      <c r="F35" s="1524">
        <f t="shared" si="14"/>
        <v>28881.76431885951</v>
      </c>
      <c r="G35" s="1524">
        <f t="shared" si="14"/>
        <v>27745.226975812904</v>
      </c>
      <c r="H35" s="1524">
        <f t="shared" si="14"/>
        <v>27579.023798414662</v>
      </c>
      <c r="I35" s="1524">
        <f t="shared" si="14"/>
        <v>27366.297241238084</v>
      </c>
      <c r="J35" s="1524">
        <f t="shared" si="14"/>
        <v>27185.868108147239</v>
      </c>
      <c r="K35" s="1524">
        <f t="shared" si="14"/>
        <v>27360.820508986344</v>
      </c>
      <c r="L35" s="1524">
        <f t="shared" si="14"/>
        <v>27186.042491031203</v>
      </c>
      <c r="M35" s="1524">
        <f t="shared" si="14"/>
        <v>27181.061003918523</v>
      </c>
      <c r="N35" s="1524">
        <f t="shared" si="14"/>
        <v>26946.402692617903</v>
      </c>
      <c r="O35" s="1524">
        <f t="shared" si="14"/>
        <v>26465.381331954799</v>
      </c>
      <c r="P35" s="1524">
        <f t="shared" si="14"/>
        <v>25989.023664171218</v>
      </c>
      <c r="Q35" s="1524">
        <f t="shared" si="14"/>
        <v>25544.34838080691</v>
      </c>
      <c r="R35" s="9"/>
      <c r="S35" s="9"/>
      <c r="T35" s="9"/>
      <c r="U35" s="9"/>
      <c r="V35" s="9"/>
    </row>
    <row r="36" spans="1:22">
      <c r="A36" s="1526"/>
      <c r="B36" s="1508"/>
      <c r="C36" s="1526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6" t="s">
        <v>1488</v>
      </c>
      <c r="B37" s="710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48" t="s">
        <v>22</v>
      </c>
      <c r="B38" s="1749" t="s">
        <v>1477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48"/>
      <c r="B39" s="1750"/>
      <c r="C39" s="1527">
        <f>C27</f>
        <v>44228</v>
      </c>
      <c r="D39" s="1527">
        <f t="shared" ref="D39:E39" si="15">D27</f>
        <v>44256</v>
      </c>
      <c r="E39" s="1527">
        <f t="shared" si="15"/>
        <v>44287</v>
      </c>
      <c r="G39" s="913"/>
      <c r="H39" s="913"/>
      <c r="I39" s="913"/>
      <c r="J39" s="913"/>
      <c r="K39" s="913"/>
      <c r="L39" s="916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09" t="s">
        <v>1478</v>
      </c>
      <c r="B40" s="713"/>
      <c r="C40" s="714"/>
      <c r="D40" s="715"/>
      <c r="E40" s="715"/>
      <c r="F40" s="65"/>
      <c r="G40" s="917"/>
      <c r="H40" s="711"/>
      <c r="I40" s="711"/>
      <c r="J40" s="711"/>
      <c r="K40" s="711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09" t="s">
        <v>1479</v>
      </c>
      <c r="B41" s="713"/>
      <c r="C41" s="714"/>
      <c r="D41" s="715"/>
      <c r="E41" s="715"/>
      <c r="F41" s="65"/>
      <c r="G41" s="917"/>
      <c r="H41" s="711"/>
      <c r="I41" s="711"/>
      <c r="J41" s="711"/>
      <c r="K41" s="711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09" t="s">
        <v>1480</v>
      </c>
      <c r="B42" s="713"/>
      <c r="C42" s="714"/>
      <c r="D42" s="715"/>
      <c r="E42" s="715"/>
      <c r="F42" s="65"/>
      <c r="G42" s="917"/>
      <c r="H42" s="711"/>
      <c r="I42" s="711"/>
      <c r="J42" s="711"/>
      <c r="K42" s="711"/>
      <c r="L42" s="918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09" t="s">
        <v>1481</v>
      </c>
      <c r="B43" s="713"/>
      <c r="C43" s="714"/>
      <c r="D43" s="715"/>
      <c r="E43" s="715"/>
      <c r="F43" s="65"/>
      <c r="G43" s="917"/>
      <c r="H43" s="711"/>
      <c r="I43" s="711"/>
      <c r="J43" s="711"/>
      <c r="K43" s="711"/>
      <c r="L43" s="918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09" t="s">
        <v>1482</v>
      </c>
      <c r="B44" s="713"/>
      <c r="C44" s="714"/>
      <c r="D44" s="715"/>
      <c r="E44" s="715"/>
      <c r="F44" s="65"/>
      <c r="G44" s="917"/>
      <c r="H44" s="711"/>
      <c r="I44" s="711"/>
      <c r="J44" s="711"/>
      <c r="K44" s="711"/>
      <c r="L44" s="918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2" t="s">
        <v>1483</v>
      </c>
      <c r="B45" s="713"/>
      <c r="C45" s="716"/>
      <c r="D45" s="915"/>
      <c r="E45" s="915"/>
      <c r="F45" s="65"/>
      <c r="G45" s="917"/>
      <c r="H45" s="711"/>
      <c r="I45" s="711"/>
      <c r="J45" s="711"/>
      <c r="K45" s="711"/>
      <c r="L45" s="918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19"/>
      <c r="L46" s="920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528" t="s">
        <v>8</v>
      </c>
      <c r="B49" s="1529"/>
      <c r="C49" s="1528"/>
      <c r="D49" s="9" t="s">
        <v>1489</v>
      </c>
    </row>
    <row r="50" spans="1:10">
      <c r="A50" s="1529" t="s">
        <v>2</v>
      </c>
      <c r="B50" s="1529"/>
      <c r="C50" s="1503"/>
    </row>
    <row r="51" spans="1:10">
      <c r="A51" s="1529" t="s">
        <v>3</v>
      </c>
      <c r="B51" s="1529"/>
      <c r="C51" s="1503"/>
      <c r="D51" s="234"/>
    </row>
    <row r="52" spans="1:10">
      <c r="A52" s="1529" t="s">
        <v>4</v>
      </c>
      <c r="B52" s="1529"/>
      <c r="C52" s="1503"/>
      <c r="D52" s="234"/>
    </row>
    <row r="53" spans="1:10">
      <c r="A53" s="1529" t="s">
        <v>5</v>
      </c>
      <c r="B53" s="1529"/>
      <c r="C53" s="1503"/>
      <c r="D53" s="234">
        <f>VLOOKUP(idsreag,Subsidio!$A$1:$J$52,10,FALSE)</f>
        <v>0</v>
      </c>
    </row>
    <row r="54" spans="1:10">
      <c r="A54" s="1529" t="s">
        <v>6</v>
      </c>
      <c r="B54" s="1529"/>
      <c r="C54" s="1503"/>
      <c r="D54" s="234"/>
      <c r="H54" s="1530"/>
      <c r="I54" s="1531"/>
      <c r="J54" s="1532"/>
    </row>
    <row r="55" spans="1:10">
      <c r="A55" s="1529" t="s">
        <v>7</v>
      </c>
      <c r="B55" s="1529"/>
      <c r="C55" s="1503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Z100"/>
  <sheetViews>
    <sheetView workbookViewId="0"/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7" width="31.42578125" style="68" bestFit="1" customWidth="1"/>
    <col min="8" max="8" width="29" style="68" bestFit="1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61" t="s">
        <v>1490</v>
      </c>
      <c r="C1" s="263"/>
      <c r="D1" s="263"/>
      <c r="E1" s="206"/>
      <c r="F1" s="1533"/>
      <c r="G1" s="1271" t="s">
        <v>952</v>
      </c>
      <c r="H1" s="1272">
        <f ca="1">LnkTXTIRTEco</f>
        <v>0.21260000000000001</v>
      </c>
    </row>
    <row r="2" spans="2:26" ht="14.25">
      <c r="B2" s="138" t="str">
        <f>CAPA!C9</f>
        <v>Cercos</v>
      </c>
      <c r="C2" s="1534"/>
      <c r="D2" s="1534"/>
      <c r="E2" s="1534"/>
      <c r="F2" s="1535"/>
      <c r="G2" s="121" t="s">
        <v>956</v>
      </c>
      <c r="H2" s="122">
        <f ca="1">LnkTXTIRTTotal</f>
        <v>8.3900000000000002E-2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759"/>
      <c r="P4" s="1759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536" t="s">
        <v>1491</v>
      </c>
      <c r="M6" s="1537"/>
      <c r="O6" s="272"/>
      <c r="P6" s="292"/>
      <c r="Z6" s="68"/>
    </row>
    <row r="7" spans="2:26" ht="14.25">
      <c r="C7" s="71"/>
      <c r="L7" s="214" t="s">
        <v>1278</v>
      </c>
      <c r="M7" s="215">
        <v>1</v>
      </c>
      <c r="O7" s="272"/>
      <c r="P7" s="292"/>
      <c r="Z7" s="68"/>
    </row>
    <row r="8" spans="2:26" ht="14.25">
      <c r="L8" s="214" t="s">
        <v>849</v>
      </c>
      <c r="M8" s="215">
        <v>2</v>
      </c>
      <c r="O8" s="272"/>
      <c r="P8" s="292"/>
      <c r="Z8" s="68"/>
    </row>
    <row r="9" spans="2:26" ht="14.25">
      <c r="B9" s="293" t="s">
        <v>1492</v>
      </c>
      <c r="D9" s="294" t="s">
        <v>1493</v>
      </c>
      <c r="L9" s="214" t="s">
        <v>1494</v>
      </c>
      <c r="M9" s="215">
        <v>4</v>
      </c>
      <c r="O9" s="272"/>
      <c r="P9" s="292"/>
      <c r="Z9" s="68"/>
    </row>
    <row r="10" spans="2:26" ht="14.25">
      <c r="L10" s="214" t="s">
        <v>1495</v>
      </c>
      <c r="M10" s="216">
        <f>CAPA!K16</f>
        <v>0.14660863250101475</v>
      </c>
      <c r="O10" s="272"/>
      <c r="P10" s="292"/>
      <c r="Z10" s="68"/>
    </row>
    <row r="11" spans="2:26" ht="14.25">
      <c r="B11" s="1762" t="s">
        <v>1496</v>
      </c>
      <c r="C11" s="1763"/>
      <c r="D11" s="1538" t="s">
        <v>1497</v>
      </c>
      <c r="E11" s="1539" t="s">
        <v>1498</v>
      </c>
      <c r="F11" s="1540" t="s">
        <v>1499</v>
      </c>
      <c r="G11" s="1539" t="s">
        <v>2276</v>
      </c>
      <c r="H11" s="1539" t="s">
        <v>2277</v>
      </c>
      <c r="I11" s="1539"/>
      <c r="J11" s="1539"/>
      <c r="L11" s="214" t="s">
        <v>1500</v>
      </c>
      <c r="M11" s="216">
        <f>CAPA!K17</f>
        <v>0.12131630216906664</v>
      </c>
      <c r="O11" s="272"/>
      <c r="P11" s="292"/>
      <c r="Z11" s="68"/>
    </row>
    <row r="12" spans="2:26" ht="14.25">
      <c r="B12" s="1768" t="s">
        <v>1501</v>
      </c>
      <c r="C12" s="1763"/>
      <c r="D12" s="1541" t="s">
        <v>1494</v>
      </c>
      <c r="E12" s="1541" t="s">
        <v>849</v>
      </c>
      <c r="F12" s="1541" t="s">
        <v>849</v>
      </c>
      <c r="G12" s="1541" t="s">
        <v>849</v>
      </c>
      <c r="H12" s="1541" t="s">
        <v>849</v>
      </c>
      <c r="I12" s="1541" t="s">
        <v>849</v>
      </c>
      <c r="J12" s="1541" t="s">
        <v>849</v>
      </c>
      <c r="L12" s="1542" t="s">
        <v>1502</v>
      </c>
      <c r="M12" s="1543">
        <v>41275</v>
      </c>
      <c r="O12" s="272"/>
      <c r="P12" s="292"/>
      <c r="Z12" s="68"/>
    </row>
    <row r="13" spans="2:26" ht="14.25">
      <c r="B13" s="1769" t="s">
        <v>1503</v>
      </c>
      <c r="C13" s="1770"/>
      <c r="D13" s="1544">
        <v>43617</v>
      </c>
      <c r="E13" s="1544">
        <v>43617</v>
      </c>
      <c r="F13" s="1544">
        <v>43617</v>
      </c>
      <c r="G13" s="1544">
        <v>44652</v>
      </c>
      <c r="H13" s="1544">
        <f t="shared" ref="H13:J14" si="0">G13</f>
        <v>44652</v>
      </c>
      <c r="I13" s="1544">
        <f t="shared" si="0"/>
        <v>44652</v>
      </c>
      <c r="J13" s="1544">
        <f t="shared" si="0"/>
        <v>44652</v>
      </c>
      <c r="L13" s="199"/>
      <c r="M13" s="217">
        <v>41306</v>
      </c>
      <c r="O13" s="272"/>
      <c r="P13" s="292"/>
      <c r="Z13" s="68"/>
    </row>
    <row r="14" spans="2:26" ht="14.25">
      <c r="B14" s="1760" t="s">
        <v>1504</v>
      </c>
      <c r="C14" s="1761"/>
      <c r="D14" s="1544">
        <v>42887</v>
      </c>
      <c r="E14" s="1544">
        <v>43252</v>
      </c>
      <c r="F14" s="1544">
        <v>43252</v>
      </c>
      <c r="G14" s="1544">
        <v>44287</v>
      </c>
      <c r="H14" s="1544">
        <f t="shared" si="0"/>
        <v>44287</v>
      </c>
      <c r="I14" s="1544">
        <f t="shared" si="0"/>
        <v>44287</v>
      </c>
      <c r="J14" s="1544">
        <f t="shared" si="0"/>
        <v>44287</v>
      </c>
      <c r="L14" s="1545"/>
      <c r="M14" s="1546">
        <v>41334</v>
      </c>
      <c r="O14" s="272"/>
      <c r="P14" s="292"/>
      <c r="Z14" s="68"/>
    </row>
    <row r="15" spans="2:26" ht="14.25">
      <c r="B15" s="1760" t="s">
        <v>1505</v>
      </c>
      <c r="C15" s="1761"/>
      <c r="D15" s="1547">
        <f>VLOOKUP(D13,Índices!$B$6:$F$500,VLOOKUP(D12,$L$7:$M$9,2,FALSE)+1,FALSE)/VLOOKUP(D14,Índices!$B$6:$F$500,VLOOKUP(D12,$L$7:$M$9,2,FALSE)+1,FALSE)</f>
        <v>1.1414978440075982</v>
      </c>
      <c r="E15" s="1547">
        <f>VLOOKUP(E13,Índices!$B$6:$F$500,VLOOKUP(E12,$L$7:$M$9,2,FALSE)+1,FALSE)/VLOOKUP(E14,Índices!$B$6:$F$500,VLOOKUP(E12,$L$7:$M$9,2,FALSE)+1,FALSE)</f>
        <v>1.0336626715248016</v>
      </c>
      <c r="F15" s="1547">
        <f>VLOOKUP(F13,Índices!$B$6:$F$500,VLOOKUP(F12,$L$7:$M$9,2,FALSE)+1,FALSE)/VLOOKUP(F14,Índices!$B$6:$F$500,VLOOKUP(F12,$L$7:$M$9,2,FALSE)+1,FALSE)</f>
        <v>1.0336626715248016</v>
      </c>
      <c r="G15" s="1547">
        <f>VLOOKUP(G13,Índices!$B$6:$F$500,VLOOKUP(G12,$L$7:$M$9,2,FALSE)+1,FALSE)/VLOOKUP(G14,Índices!$B$6:$F$500,VLOOKUP(G12,$L$7:$M$9,2,FALSE)+1,FALSE)</f>
        <v>1.1213163021690666</v>
      </c>
      <c r="H15" s="1547">
        <f>VLOOKUP(H13,Índices!$B$6:$F$500,VLOOKUP(H12,$L$7:$M$9,2,FALSE)+1,FALSE)/VLOOKUP(H14,Índices!$B$6:$F$500,VLOOKUP(H12,$L$7:$M$9,2,FALSE)+1,FALSE)</f>
        <v>1.1213163021690666</v>
      </c>
      <c r="I15" s="1547">
        <f>VLOOKUP(I13,Índices!$B$6:$F$500,VLOOKUP(I12,$L$7:$M$9,2,FALSE)+1,FALSE)/VLOOKUP(I14,Índices!$B$6:$F$500,VLOOKUP(I12,$L$7:$M$9,2,FALSE)+1,FALSE)</f>
        <v>1.1213163021690666</v>
      </c>
      <c r="J15" s="1547">
        <f>VLOOKUP(J13,Índices!$B$6:$F$500,VLOOKUP(J12,$L$7:$M$9,2,FALSE)+1,FALSE)/VLOOKUP(J14,Índices!$B$6:$F$500,VLOOKUP(J12,$L$7:$M$9,2,FALSE)+1,FALSE)</f>
        <v>1.1213163021690666</v>
      </c>
      <c r="O15" s="272"/>
      <c r="P15" s="292"/>
      <c r="Z15" s="68"/>
    </row>
    <row r="16" spans="2:26" ht="14.25">
      <c r="B16" s="1760" t="s">
        <v>1506</v>
      </c>
      <c r="C16" s="1761"/>
      <c r="D16" s="1548"/>
      <c r="E16" s="1548"/>
      <c r="F16" s="1548"/>
      <c r="G16" s="1668">
        <v>-8236.24</v>
      </c>
      <c r="H16" s="1548">
        <v>26866.39</v>
      </c>
      <c r="I16" s="1548"/>
      <c r="J16" s="1548"/>
      <c r="O16" s="272"/>
      <c r="P16" s="292"/>
      <c r="Z16" s="68"/>
    </row>
    <row r="17" spans="1:26" ht="14.25">
      <c r="B17" s="1766" t="s">
        <v>1507</v>
      </c>
      <c r="C17" s="1767"/>
      <c r="D17" s="1549">
        <f t="shared" ref="D17:E17" si="1">D16*D15</f>
        <v>0</v>
      </c>
      <c r="E17" s="1549">
        <f t="shared" si="1"/>
        <v>0</v>
      </c>
      <c r="F17" s="1549">
        <f>F16*F15</f>
        <v>0</v>
      </c>
      <c r="G17" s="1669">
        <f>G16*G15</f>
        <v>-9235.4301805769537</v>
      </c>
      <c r="H17" s="1549">
        <f>H16*H15</f>
        <v>30125.72108743199</v>
      </c>
      <c r="I17" s="1549">
        <f>I16*I15</f>
        <v>0</v>
      </c>
      <c r="J17" s="1549">
        <f>J16*J15</f>
        <v>0</v>
      </c>
      <c r="O17" s="272"/>
      <c r="P17" s="93"/>
      <c r="Z17" s="68"/>
    </row>
    <row r="18" spans="1:26" ht="14.25">
      <c r="E18" s="295" t="s">
        <v>1508</v>
      </c>
      <c r="F18" s="506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1509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1510</v>
      </c>
      <c r="E20" s="296" t="s">
        <v>1511</v>
      </c>
      <c r="F20" s="143">
        <f>F17-F19</f>
        <v>0</v>
      </c>
      <c r="J20" s="409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550" t="s">
        <v>1496</v>
      </c>
      <c r="C22" s="1764" t="str">
        <f>Financeiros!C9</f>
        <v>Repasse de PIS COFINS</v>
      </c>
      <c r="D22" s="1765"/>
      <c r="E22" s="1753" t="s">
        <v>1512</v>
      </c>
      <c r="F22" s="1754"/>
      <c r="G22" s="1753" t="str">
        <f>Financeiros!C25</f>
        <v>Compensação DIC FIC</v>
      </c>
      <c r="H22" s="1754"/>
      <c r="I22" s="1755" t="s">
        <v>1260</v>
      </c>
      <c r="J22" s="1756"/>
      <c r="K22" s="1771" t="s">
        <v>1513</v>
      </c>
      <c r="L22" s="1772"/>
      <c r="M22" s="1773" t="s">
        <v>1514</v>
      </c>
      <c r="N22" s="1774"/>
      <c r="O22" s="1751" t="s">
        <v>1515</v>
      </c>
      <c r="P22" s="1752"/>
      <c r="Q22" s="1751" t="s">
        <v>232</v>
      </c>
      <c r="R22" s="1752"/>
      <c r="S22" s="1751" t="s">
        <v>2228</v>
      </c>
      <c r="T22" s="1752"/>
      <c r="U22" s="1751" t="s">
        <v>2229</v>
      </c>
      <c r="V22" s="1752"/>
      <c r="Z22" s="68"/>
    </row>
    <row r="23" spans="1:26" ht="14.25">
      <c r="B23" s="1551" t="s">
        <v>1004</v>
      </c>
      <c r="C23" s="1552" t="s">
        <v>1516</v>
      </c>
      <c r="D23" s="1553" t="s">
        <v>849</v>
      </c>
      <c r="E23" s="1552" t="s">
        <v>1516</v>
      </c>
      <c r="F23" s="1553" t="s">
        <v>849</v>
      </c>
      <c r="G23" s="1552" t="s">
        <v>1516</v>
      </c>
      <c r="H23" s="1553" t="s">
        <v>849</v>
      </c>
      <c r="I23" s="1552" t="s">
        <v>1516</v>
      </c>
      <c r="J23" s="1553" t="s">
        <v>849</v>
      </c>
      <c r="K23" s="1552" t="s">
        <v>1516</v>
      </c>
      <c r="L23" s="1553" t="s">
        <v>1494</v>
      </c>
      <c r="M23" s="1554" t="s">
        <v>1516</v>
      </c>
      <c r="N23" s="1555" t="s">
        <v>1494</v>
      </c>
      <c r="O23" s="1554" t="s">
        <v>1516</v>
      </c>
      <c r="P23" s="1555" t="s">
        <v>849</v>
      </c>
      <c r="Q23" s="1554" t="s">
        <v>1516</v>
      </c>
      <c r="R23" s="1555" t="s">
        <v>849</v>
      </c>
      <c r="S23" s="1554" t="s">
        <v>1516</v>
      </c>
      <c r="T23" s="1555" t="s">
        <v>849</v>
      </c>
      <c r="U23" s="1554" t="s">
        <v>1516</v>
      </c>
      <c r="V23" s="1555" t="s">
        <v>849</v>
      </c>
      <c r="Z23" s="68"/>
    </row>
    <row r="24" spans="1:26" ht="14.25">
      <c r="B24" s="1556">
        <f>DATE(YEAR(B25),MONTH(B25)-1,1)</f>
        <v>43922</v>
      </c>
      <c r="C24" s="496"/>
      <c r="D24" s="497"/>
      <c r="E24" s="496"/>
      <c r="F24" s="497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7"/>
      <c r="N24" s="100">
        <f>VLOOKUP($B$48,Índices!$B$6:$F$500,VLOOKUP(N$23,$L$7:$M$9,2,FALSE)+1,FALSE)/VLOOKUP(DATE(YEAR($B24),MONTH($B24)-1,1),Índices!$B$6:$F$500,VLOOKUP(N$23,$L$7:$M$9,2,FALSE)+1,FALSE)*M24</f>
        <v>0</v>
      </c>
      <c r="O24" s="417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43952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7"/>
      <c r="N25" s="100">
        <f>VLOOKUP($B$48,Índices!$B$6:$F$500,VLOOKUP(N$23,$L$7:$M$9,2,FALSE)+1,FALSE)/VLOOKUP(DATE(YEAR($B25),MONTH($B25)-1,1),Índices!$B$6:$F$500,VLOOKUP(N$23,$L$7:$M$9,2,FALSE)+1,FALSE)*M25</f>
        <v>0</v>
      </c>
      <c r="O25" s="417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43983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7"/>
      <c r="N26" s="100">
        <f>VLOOKUP($B$48,Índices!$B$6:$F$500,VLOOKUP(N$23,$L$7:$M$9,2,FALSE)+1,FALSE)/VLOOKUP(DATE(YEAR($B26),MONTH($B26)-1,1),Índices!$B$6:$F$500,VLOOKUP(N$23,$L$7:$M$9,2,FALSE)+1,FALSE)*M26</f>
        <v>0</v>
      </c>
      <c r="O26" s="417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44013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7"/>
      <c r="N27" s="100">
        <f>VLOOKUP($B$48,Índices!$B$6:$F$500,VLOOKUP(N$23,$L$7:$M$9,2,FALSE)+1,FALSE)/VLOOKUP(DATE(YEAR($B27),MONTH($B27)-1,1),Índices!$B$6:$F$500,VLOOKUP(N$23,$L$7:$M$9,2,FALSE)+1,FALSE)*M27</f>
        <v>0</v>
      </c>
      <c r="O27" s="417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44044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7"/>
      <c r="N28" s="100">
        <f>VLOOKUP($B$48,Índices!$B$6:$F$500,VLOOKUP(N$23,$L$7:$M$9,2,FALSE)+1,FALSE)/VLOOKUP(DATE(YEAR($B28),MONTH($B28)-1,1),Índices!$B$6:$F$500,VLOOKUP(N$23,$L$7:$M$9,2,FALSE)+1,FALSE)*M28</f>
        <v>0</v>
      </c>
      <c r="O28" s="417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44075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7"/>
      <c r="N29" s="100">
        <f>VLOOKUP($B$48,Índices!$B$6:$F$500,VLOOKUP(N$23,$L$7:$M$9,2,FALSE)+1,FALSE)/VLOOKUP(DATE(YEAR($B29),MONTH($B29)-1,1),Índices!$B$6:$F$500,VLOOKUP(N$23,$L$7:$M$9,2,FALSE)+1,FALSE)*M29</f>
        <v>0</v>
      </c>
      <c r="O29" s="417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44105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7"/>
      <c r="N30" s="100">
        <f>VLOOKUP($B$48,Índices!$B$6:$F$500,VLOOKUP(N$23,$L$7:$M$9,2,FALSE)+1,FALSE)/VLOOKUP(DATE(YEAR($B30),MONTH($B30)-1,1),Índices!$B$6:$F$500,VLOOKUP(N$23,$L$7:$M$9,2,FALSE)+1,FALSE)*M30</f>
        <v>0</v>
      </c>
      <c r="O30" s="417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44136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7"/>
      <c r="N31" s="100">
        <f>VLOOKUP($B$48,Índices!$B$6:$F$500,VLOOKUP(N$23,$L$7:$M$9,2,FALSE)+1,FALSE)/VLOOKUP(DATE(YEAR($B31),MONTH($B31)-1,1),Índices!$B$6:$F$500,VLOOKUP(N$23,$L$7:$M$9,2,FALSE)+1,FALSE)*M31</f>
        <v>0</v>
      </c>
      <c r="O31" s="417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44166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7"/>
      <c r="N32" s="100">
        <f>VLOOKUP($B$48,Índices!$B$6:$F$500,VLOOKUP(N$23,$L$7:$M$9,2,FALSE)+1,FALSE)/VLOOKUP(DATE(YEAR($B32),MONTH($B32)-1,1),Índices!$B$6:$F$500,VLOOKUP(N$23,$L$7:$M$9,2,FALSE)+1,FALSE)*M32</f>
        <v>0</v>
      </c>
      <c r="O32" s="417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44197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7"/>
      <c r="N33" s="100">
        <f>VLOOKUP($B$48,Índices!$B$6:$F$500,VLOOKUP(N$23,$L$7:$M$9,2,FALSE)+1,FALSE)/VLOOKUP(DATE(YEAR($B33),MONTH($B33)-1,1),Índices!$B$6:$F$500,VLOOKUP(N$23,$L$7:$M$9,2,FALSE)+1,FALSE)*M33</f>
        <v>0</v>
      </c>
      <c r="O33" s="417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94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44228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7"/>
      <c r="N34" s="100">
        <f>VLOOKUP($B$48,Índices!$B$6:$F$500,VLOOKUP(N$23,$L$7:$M$9,2,FALSE)+1,FALSE)/VLOOKUP(DATE(YEAR($B34),MONTH($B34)-1,1),Índices!$B$6:$F$500,VLOOKUP(N$23,$L$7:$M$9,2,FALSE)+1,FALSE)*M34</f>
        <v>0</v>
      </c>
      <c r="O34" s="417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94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44256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7"/>
      <c r="N35" s="100">
        <f>VLOOKUP($B$48,Índices!$B$6:$F$500,VLOOKUP(N$23,$L$7:$M$9,2,FALSE)+1,FALSE)/VLOOKUP(DATE(YEAR($B35),MONTH($B35)-1,1),Índices!$B$6:$F$500,VLOOKUP(N$23,$L$7:$M$9,2,FALSE)+1,FALSE)*M35</f>
        <v>0</v>
      </c>
      <c r="O35" s="417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94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44287</v>
      </c>
      <c r="C36" s="298">
        <f>CAPA!C65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7"/>
      <c r="N36" s="100">
        <f>VLOOKUP($B$48,Índices!$B$6:$F$500,VLOOKUP(N$23,$L$7:$M$9,2,FALSE)+1,FALSE)/VLOOKUP(DATE(YEAR($B36),MONTH($B36)-1,1),Índices!$B$6:$F$500,VLOOKUP(N$23,$L$7:$M$9,2,FALSE)+1,FALSE)*M36</f>
        <v>0</v>
      </c>
      <c r="O36" s="417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94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96" customFormat="1" ht="14.25">
      <c r="A37" s="890"/>
      <c r="B37" s="891">
        <f t="shared" si="2"/>
        <v>44317</v>
      </c>
      <c r="C37" s="892">
        <f>CAPA!C66</f>
        <v>12115.76</v>
      </c>
      <c r="D37" s="893">
        <f>VLOOKUP($B$48,Índices!$B$6:$F$500,VLOOKUP(D$23,$L$7:$M$9,2,FALSE)+1,FALSE)/VLOOKUP(DATE(YEAR($B37),MONTH($B37)-1,1),Índices!$B$6:$F$500,VLOOKUP(D$23,$L$7:$M$9,2,FALSE)+1,FALSE)*C37</f>
        <v>13585.599201167892</v>
      </c>
      <c r="E37" s="894"/>
      <c r="F37" s="893">
        <f>VLOOKUP($B$48,Índices!$B$6:$F$500,VLOOKUP(F$23,$L$7:$M$9,2,FALSE)+1,FALSE)/VLOOKUP(DATE(YEAR($B37),MONTH($B37)-1,1),Índices!$B$6:$F$500,VLOOKUP(H$23,$L$7:$M$9,2,FALSE)+1,FALSE)*E37</f>
        <v>0</v>
      </c>
      <c r="G37" s="894">
        <f>CAPA!E66</f>
        <v>0</v>
      </c>
      <c r="H37" s="893">
        <f>VLOOKUP($B$48,Índices!$B$6:$F$500,VLOOKUP(H$23,$L$7:$M$9,2,FALSE)+1,FALSE)/VLOOKUP(DATE(YEAR($B37),MONTH($B37)-1,1),Índices!$B$6:$F$500,VLOOKUP(H$23,$L$7:$M$9,2,FALSE)+1,FALSE)*G37</f>
        <v>0</v>
      </c>
      <c r="I37" s="895">
        <f>IFERROR(HLOOKUP(B37,'Rede Básica + Ajuste'!$E$70:$P$71,2,FALSE),0)</f>
        <v>0</v>
      </c>
      <c r="J37" s="895">
        <f>VLOOKUP($B$48,Índices!$B$6:$F$500,VLOOKUP(J$23,$L$7:$M$9,2,FALSE)+1,FALSE)/VLOOKUP(DATE(YEAR($B37),MONTH($B37)-1,1),Índices!$B$6:$F$500,VLOOKUP(J$23,$L$7:$M$9,2,FALSE)+1,FALSE)*I37</f>
        <v>0</v>
      </c>
      <c r="K37" s="894">
        <f>CAPA!H66</f>
        <v>0</v>
      </c>
      <c r="L37" s="893">
        <f>VLOOKUP($B$48,Índices!$B$6:$F$500,VLOOKUP(L$23,$L$7:$M$9,2,FALSE)+1,FALSE)/VLOOKUP(DATE(YEAR($B37),MONTH($B37)-1,1),Índices!$B$6:$F$500,VLOOKUP(L$23,$L$7:$M$9,2,FALSE)+1,FALSE)*K37</f>
        <v>0</v>
      </c>
      <c r="M37" s="894"/>
      <c r="N37" s="893">
        <f>VLOOKUP($B$48,Índices!$B$6:$F$500,VLOOKUP(N$23,$L$7:$M$9,2,FALSE)+1,FALSE)/VLOOKUP(DATE(YEAR($B37),MONTH($B37)-1,1),Índices!$B$6:$F$500,VLOOKUP(N$23,$L$7:$M$9,2,FALSE)+1,FALSE)*M37</f>
        <v>0</v>
      </c>
      <c r="O37" s="417">
        <f>CAPA!G66</f>
        <v>0</v>
      </c>
      <c r="P37" s="893">
        <f>VLOOKUP($B$48,Índices!$B$6:$F$500,VLOOKUP(P$23,$L$7:$M$9,2,FALSE)+1,FALSE)/VLOOKUP(DATE(YEAR($B37),MONTH($B37)-1,1),Índices!$B$6:$F$500,VLOOKUP(P$23,$L$7:$M$9,2,FALSE)+1,FALSE)*O37</f>
        <v>0</v>
      </c>
      <c r="Q37" s="894">
        <f>CAPA!D66</f>
        <v>0</v>
      </c>
      <c r="R37" s="893">
        <f>VLOOKUP($B$48,Índices!$B$6:$F$500,VLOOKUP(R$23,$L$7:$M$9,2,FALSE)+1,FALSE)/VLOOKUP(DATE(YEAR($B37),MONTH($B37)-1,1),Índices!$B$6:$F$500,VLOOKUP(R$23,$L$7:$M$9,2,FALSE)+1,FALSE)*Q37</f>
        <v>0</v>
      </c>
      <c r="S37" s="894">
        <f>ICMS!$B$9/12</f>
        <v>0</v>
      </c>
      <c r="T37" s="893">
        <f>VLOOKUP($B$48,Índices!$B$6:$F$500,VLOOKUP(T$23,$L$7:$M$9,2,FALSE)+1,FALSE)/VLOOKUP(DATE(YEAR($B37),MONTH($B37)-1,1),Índices!$B$6:$F$500,VLOOKUP(T$23,$L$7:$M$9,2,FALSE)+1,FALSE)*S37</f>
        <v>0</v>
      </c>
      <c r="U37" s="894">
        <f>ICMS!$B$8/12</f>
        <v>0</v>
      </c>
      <c r="V37" s="893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44348</v>
      </c>
      <c r="C38" s="298">
        <f>CAPA!C67</f>
        <v>12498.33</v>
      </c>
      <c r="D38" s="227">
        <f>VLOOKUP($B$48,Índices!$B$6:$F$500,VLOOKUP(D$23,$L$7:$M$9,2,FALSE)+1,FALSE)/VLOOKUP(DATE(YEAR($B38),MONTH($B38)-1,1),Índices!$B$6:$F$500,VLOOKUP(D$23,$L$7:$M$9,2,FALSE)+1,FALSE)*C38</f>
        <v>13899.208404546689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7"/>
      <c r="N38" s="100">
        <f>VLOOKUP($B$48,Índices!$B$6:$F$500,VLOOKUP(N$23,$L$7:$M$9,2,FALSE)+1,FALSE)/VLOOKUP(DATE(YEAR($B38),MONTH($B38)-1,1),Índices!$B$6:$F$500,VLOOKUP(N$23,$L$7:$M$9,2,FALSE)+1,FALSE)*M38</f>
        <v>0</v>
      </c>
      <c r="O38" s="417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94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94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44378</v>
      </c>
      <c r="C39" s="298">
        <f>CAPA!C68</f>
        <v>12206.86</v>
      </c>
      <c r="D39" s="227">
        <f>VLOOKUP($B$48,Índices!$B$6:$F$500,VLOOKUP(D$23,$L$7:$M$9,2,FALSE)+1,FALSE)/VLOOKUP(DATE(YEAR($B39),MONTH($B39)-1,1),Índices!$B$6:$F$500,VLOOKUP(D$23,$L$7:$M$9,2,FALSE)+1,FALSE)*C39</f>
        <v>13503.499588698749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0</v>
      </c>
      <c r="H39" s="227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7"/>
      <c r="N39" s="100">
        <f>VLOOKUP($B$48,Índices!$B$6:$F$500,VLOOKUP(N$23,$L$7:$M$9,2,FALSE)+1,FALSE)/VLOOKUP(DATE(YEAR($B39),MONTH($B39)-1,1),Índices!$B$6:$F$500,VLOOKUP(N$23,$L$7:$M$9,2,FALSE)+1,FALSE)*M39</f>
        <v>0</v>
      </c>
      <c r="O39" s="417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94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94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44409</v>
      </c>
      <c r="C40" s="298">
        <f>CAPA!C69</f>
        <v>12726.96</v>
      </c>
      <c r="D40" s="227">
        <f>VLOOKUP($B$48,Índices!$B$6:$F$500,VLOOKUP(D$23,$L$7:$M$9,2,FALSE)+1,FALSE)/VLOOKUP(DATE(YEAR($B40),MONTH($B40)-1,1),Índices!$B$6:$F$500,VLOOKUP(D$23,$L$7:$M$9,2,FALSE)+1,FALSE)*C40</f>
        <v>13944.978335247375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0</v>
      </c>
      <c r="H40" s="227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7"/>
      <c r="N40" s="100">
        <f>VLOOKUP($B$48,Índices!$B$6:$F$500,VLOOKUP(N$23,$L$7:$M$9,2,FALSE)+1,FALSE)/VLOOKUP(DATE(YEAR($B40),MONTH($B40)-1,1),Índices!$B$6:$F$500,VLOOKUP(N$23,$L$7:$M$9,2,FALSE)+1,FALSE)*M40</f>
        <v>0</v>
      </c>
      <c r="O40" s="417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94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94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44440</v>
      </c>
      <c r="C41" s="298">
        <f>CAPA!C70</f>
        <v>12812.23</v>
      </c>
      <c r="D41" s="227">
        <f>VLOOKUP($B$48,Índices!$B$6:$F$500,VLOOKUP(D$23,$L$7:$M$9,2,FALSE)+1,FALSE)/VLOOKUP(DATE(YEAR($B41),MONTH($B41)-1,1),Índices!$B$6:$F$500,VLOOKUP(D$23,$L$7:$M$9,2,FALSE)+1,FALSE)*C41</f>
        <v>13917.329944843899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0</v>
      </c>
      <c r="H41" s="227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7"/>
      <c r="N41" s="100">
        <f>VLOOKUP($B$48,Índices!$B$6:$F$500,VLOOKUP(N$23,$L$7:$M$9,2,FALSE)+1,FALSE)/VLOOKUP(DATE(YEAR($B41),MONTH($B41)-1,1),Índices!$B$6:$F$500,VLOOKUP(N$23,$L$7:$M$9,2,FALSE)+1,FALSE)*M41</f>
        <v>0</v>
      </c>
      <c r="O41" s="417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94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94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44470</v>
      </c>
      <c r="C42" s="298">
        <f>CAPA!C71</f>
        <v>13873.64</v>
      </c>
      <c r="D42" s="227">
        <f>VLOOKUP($B$48,Índices!$B$6:$F$500,VLOOKUP(D$23,$L$7:$M$9,2,FALSE)+1,FALSE)/VLOOKUP(DATE(YEAR($B42),MONTH($B42)-1,1),Índices!$B$6:$F$500,VLOOKUP(D$23,$L$7:$M$9,2,FALSE)+1,FALSE)*C42</f>
        <v>14897.484995180184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0</v>
      </c>
      <c r="H42" s="227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7"/>
      <c r="N42" s="100">
        <f>VLOOKUP($B$48,Índices!$B$6:$F$500,VLOOKUP(N$23,$L$7:$M$9,2,FALSE)+1,FALSE)/VLOOKUP(DATE(YEAR($B42),MONTH($B42)-1,1),Índices!$B$6:$F$500,VLOOKUP(N$23,$L$7:$M$9,2,FALSE)+1,FALSE)*M42</f>
        <v>0</v>
      </c>
      <c r="O42" s="417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94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94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44501</v>
      </c>
      <c r="C43" s="298">
        <f>CAPA!C72</f>
        <v>13620.29</v>
      </c>
      <c r="D43" s="227">
        <f>VLOOKUP($B$48,Índices!$B$6:$F$500,VLOOKUP(D$23,$L$7:$M$9,2,FALSE)+1,FALSE)/VLOOKUP(DATE(YEAR($B43),MONTH($B43)-1,1),Índices!$B$6:$F$500,VLOOKUP(D$23,$L$7:$M$9,2,FALSE)+1,FALSE)*C43</f>
        <v>14444.883639837768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0</v>
      </c>
      <c r="H43" s="227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7"/>
      <c r="N43" s="100">
        <f>VLOOKUP($B$48,Índices!$B$6:$F$500,VLOOKUP(N$23,$L$7:$M$9,2,FALSE)+1,FALSE)/VLOOKUP(DATE(YEAR($B43),MONTH($B43)-1,1),Índices!$B$6:$F$500,VLOOKUP(N$23,$L$7:$M$9,2,FALSE)+1,FALSE)*M43</f>
        <v>0</v>
      </c>
      <c r="O43" s="417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94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94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44531</v>
      </c>
      <c r="C44" s="298">
        <f>CAPA!C73</f>
        <v>14104.4</v>
      </c>
      <c r="D44" s="227">
        <f>VLOOKUP($B$48,Índices!$B$6:$F$500,VLOOKUP(D$23,$L$7:$M$9,2,FALSE)+1,FALSE)/VLOOKUP(DATE(YEAR($B44),MONTH($B44)-1,1),Índices!$B$6:$F$500,VLOOKUP(D$23,$L$7:$M$9,2,FALSE)+1,FALSE)*C44</f>
        <v>14817.525692061312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0</v>
      </c>
      <c r="H44" s="227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7"/>
      <c r="N44" s="100">
        <f>VLOOKUP($B$48,Índices!$B$6:$F$500,VLOOKUP(N$23,$L$7:$M$9,2,FALSE)+1,FALSE)/VLOOKUP(DATE(YEAR($B44),MONTH($B44)-1,1),Índices!$B$6:$F$500,VLOOKUP(N$23,$L$7:$M$9,2,FALSE)+1,FALSE)*M44</f>
        <v>0</v>
      </c>
      <c r="O44" s="417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94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94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44562</v>
      </c>
      <c r="C45" s="298">
        <f>CAPA!C74</f>
        <v>14362.92</v>
      </c>
      <c r="D45" s="227">
        <f>VLOOKUP($B$48,Índices!$B$6:$F$500,VLOOKUP(D$23,$L$7:$M$9,2,FALSE)+1,FALSE)/VLOOKUP(DATE(YEAR($B45),MONTH($B45)-1,1),Índices!$B$6:$F$500,VLOOKUP(D$23,$L$7:$M$9,2,FALSE)+1,FALSE)*C45</f>
        <v>14979.770525944277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0</v>
      </c>
      <c r="H45" s="227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7"/>
      <c r="N45" s="100">
        <f>VLOOKUP($B$48,Índices!$B$6:$F$500,VLOOKUP(N$23,$L$7:$M$9,2,FALSE)+1,FALSE)/VLOOKUP(DATE(YEAR($B45),MONTH($B45)-1,1),Índices!$B$6:$F$500,VLOOKUP(N$23,$L$7:$M$9,2,FALSE)+1,FALSE)*M45</f>
        <v>0</v>
      </c>
      <c r="O45" s="417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94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94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44593</v>
      </c>
      <c r="C46" s="298">
        <f>CAPA!C75</f>
        <v>18872.689999999999</v>
      </c>
      <c r="D46" s="227">
        <f>VLOOKUP($B$48,Índices!$B$6:$F$500,VLOOKUP(D$23,$L$7:$M$9,2,FALSE)+1,FALSE)/VLOOKUP(DATE(YEAR($B46),MONTH($B46)-1,1),Índices!$B$6:$F$500,VLOOKUP(D$23,$L$7:$M$9,2,FALSE)+1,FALSE)*C46</f>
        <v>19577.49936165406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0</v>
      </c>
      <c r="H46" s="227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7"/>
      <c r="N46" s="100">
        <f>VLOOKUP($B$48,Índices!$B$6:$F$500,VLOOKUP(N$23,$L$7:$M$9,2,FALSE)+1,FALSE)/VLOOKUP(DATE(YEAR($B46),MONTH($B46)-1,1),Índices!$B$6:$F$500,VLOOKUP(N$23,$L$7:$M$9,2,FALSE)+1,FALSE)*M46</f>
        <v>0</v>
      </c>
      <c r="O46" s="417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94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94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44621</v>
      </c>
      <c r="C47" s="298">
        <f>CAPA!C76</f>
        <v>15723.49</v>
      </c>
      <c r="D47" s="227">
        <f>VLOOKUP($B$48,Índices!$B$6:$F$500,VLOOKUP(D$23,$L$7:$M$9,2,FALSE)+1,FALSE)/VLOOKUP(DATE(YEAR($B47),MONTH($B47)-1,1),Índices!$B$6:$F$500,VLOOKUP(D$23,$L$7:$M$9,2,FALSE)+1,FALSE)*C47</f>
        <v>16147.590415044311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0</v>
      </c>
      <c r="H47" s="227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7"/>
      <c r="N47" s="100">
        <f>VLOOKUP($B$48,Índices!$B$6:$F$500,VLOOKUP(N$23,$L$7:$M$9,2,FALSE)+1,FALSE)/VLOOKUP(DATE(YEAR($B47),MONTH($B47)-1,1),Índices!$B$6:$F$500,VLOOKUP(N$23,$L$7:$M$9,2,FALSE)+1,FALSE)*M47</f>
        <v>0</v>
      </c>
      <c r="O47" s="417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94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94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557">
        <f>DATE(YEAR(CAPA!$C$15),MONTH(CAPA!$C$15)-1,1)</f>
        <v>44652</v>
      </c>
      <c r="C48" s="298">
        <f>CAPA!C77</f>
        <v>14243.53</v>
      </c>
      <c r="D48" s="227">
        <f>VLOOKUP($B$48,Índices!$B$6:$F$500,VLOOKUP(D$23,$L$7:$M$9,2,FALSE)+1,FALSE)/VLOOKUP(DATE(YEAR($B48),MONTH($B48)-1,1),Índices!$B$6:$F$500,VLOOKUP(D$23,$L$7:$M$9,2,FALSE)+1,FALSE)*C48</f>
        <v>14394.513993410312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7"/>
      <c r="N48" s="100">
        <f>VLOOKUP($B$48,Índices!$B$6:$F$500,VLOOKUP(N$23,$L$7:$M$9,2,FALSE)+1,FALSE)/VLOOKUP(DATE(YEAR($B48),MONTH($B48)-1,1),Índices!$B$6:$F$500,VLOOKUP(N$23,$L$7:$M$9,2,FALSE)+1,FALSE)*M48</f>
        <v>0</v>
      </c>
      <c r="O48" s="417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94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94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26" ht="14.25">
      <c r="C49" s="1558">
        <f t="shared" ref="C49:P49" si="3">SUM(C25:C48)</f>
        <v>167161.09999999998</v>
      </c>
      <c r="D49" s="1559">
        <f t="shared" si="3"/>
        <v>178109.88409763679</v>
      </c>
      <c r="E49" s="1558">
        <f t="shared" si="3"/>
        <v>0</v>
      </c>
      <c r="F49" s="1559">
        <f t="shared" si="3"/>
        <v>0</v>
      </c>
      <c r="G49" s="1558">
        <f t="shared" si="3"/>
        <v>0</v>
      </c>
      <c r="H49" s="1559">
        <f t="shared" si="3"/>
        <v>0</v>
      </c>
      <c r="I49" s="1560">
        <f>SUM(I24:I48)</f>
        <v>0</v>
      </c>
      <c r="J49" s="1560">
        <f>SUM(J24:J48)</f>
        <v>0</v>
      </c>
      <c r="K49" s="1561">
        <f t="shared" si="3"/>
        <v>0</v>
      </c>
      <c r="L49" s="1562">
        <f t="shared" si="3"/>
        <v>0</v>
      </c>
      <c r="M49" s="1563">
        <f t="shared" si="3"/>
        <v>0</v>
      </c>
      <c r="N49" s="1564">
        <f t="shared" si="3"/>
        <v>0</v>
      </c>
      <c r="O49" s="1563">
        <f t="shared" si="3"/>
        <v>0</v>
      </c>
      <c r="P49" s="1564">
        <f t="shared" si="3"/>
        <v>0</v>
      </c>
      <c r="Q49" s="1563">
        <f t="shared" ref="Q49:R49" si="4">SUM(Q25:Q48)</f>
        <v>0</v>
      </c>
      <c r="R49" s="1564">
        <f t="shared" si="4"/>
        <v>0</v>
      </c>
      <c r="S49" s="1563">
        <f>-S51</f>
        <v>0</v>
      </c>
      <c r="T49" s="1564">
        <f t="shared" ref="T49:V49" si="5">SUM(T25:T48)</f>
        <v>0</v>
      </c>
      <c r="U49" s="1563">
        <f>-S52</f>
        <v>0</v>
      </c>
      <c r="V49" s="1564">
        <f t="shared" si="5"/>
        <v>0</v>
      </c>
      <c r="Z49" s="68"/>
    </row>
    <row r="50" spans="2:26" ht="14.25">
      <c r="J50" s="68" t="s">
        <v>927</v>
      </c>
      <c r="M50" s="200"/>
      <c r="N50" s="108"/>
      <c r="S50" s="1463"/>
      <c r="T50" s="68" t="s">
        <v>1517</v>
      </c>
      <c r="Z50" s="68"/>
    </row>
    <row r="51" spans="2:26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26" ht="14.25">
      <c r="M52" s="200"/>
      <c r="N52" s="108"/>
      <c r="Z52" s="68"/>
    </row>
    <row r="53" spans="2:26" ht="14.25">
      <c r="C53" s="1757" t="s">
        <v>1518</v>
      </c>
      <c r="D53" s="1758"/>
      <c r="E53" s="1757" t="s">
        <v>1519</v>
      </c>
      <c r="F53" s="1758"/>
      <c r="G53" s="1757" t="s">
        <v>1520</v>
      </c>
      <c r="H53" s="1758"/>
      <c r="I53" s="1757" t="s">
        <v>1521</v>
      </c>
      <c r="J53" s="1758"/>
      <c r="K53" s="1753" t="s">
        <v>1522</v>
      </c>
      <c r="L53" s="1754"/>
      <c r="M53" s="1757" t="s">
        <v>1523</v>
      </c>
      <c r="N53" s="1758"/>
      <c r="O53" s="1757" t="s">
        <v>1524</v>
      </c>
      <c r="P53" s="1758"/>
      <c r="Q53" s="1757" t="s">
        <v>1525</v>
      </c>
      <c r="R53" s="1758"/>
      <c r="S53" s="1757" t="s">
        <v>36</v>
      </c>
      <c r="T53" s="1758"/>
      <c r="Z53" s="68"/>
    </row>
    <row r="54" spans="2:26" ht="14.25">
      <c r="C54" s="1554" t="s">
        <v>1516</v>
      </c>
      <c r="D54" s="1555" t="s">
        <v>849</v>
      </c>
      <c r="E54" s="1554" t="s">
        <v>1516</v>
      </c>
      <c r="F54" s="1555" t="s">
        <v>849</v>
      </c>
      <c r="G54" s="1554" t="s">
        <v>1516</v>
      </c>
      <c r="H54" s="1555" t="s">
        <v>849</v>
      </c>
      <c r="I54" s="1554" t="s">
        <v>1516</v>
      </c>
      <c r="J54" s="1555" t="s">
        <v>849</v>
      </c>
      <c r="K54" s="1552" t="s">
        <v>1516</v>
      </c>
      <c r="L54" s="1553" t="s">
        <v>849</v>
      </c>
      <c r="M54" s="1554" t="s">
        <v>1516</v>
      </c>
      <c r="N54" s="1555" t="s">
        <v>849</v>
      </c>
      <c r="O54" s="1554" t="s">
        <v>1516</v>
      </c>
      <c r="P54" s="1555" t="s">
        <v>849</v>
      </c>
      <c r="Q54" s="1554" t="s">
        <v>1516</v>
      </c>
      <c r="R54" s="1555" t="s">
        <v>849</v>
      </c>
      <c r="S54" s="1554" t="s">
        <v>1516</v>
      </c>
      <c r="T54" s="1565" t="s">
        <v>1494</v>
      </c>
      <c r="Z54" s="68"/>
    </row>
    <row r="55" spans="2:26" ht="14.25">
      <c r="B55" s="272">
        <f t="shared" ref="B55:B79" si="6">B24</f>
        <v>43922</v>
      </c>
      <c r="C55" s="498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Z55" s="68"/>
    </row>
    <row r="56" spans="2:26" ht="14.25">
      <c r="B56" s="272">
        <f t="shared" si="6"/>
        <v>43952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Z56" s="68"/>
    </row>
    <row r="57" spans="2:26" ht="14.25">
      <c r="B57" s="272">
        <f t="shared" si="6"/>
        <v>43983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Z57" s="68"/>
    </row>
    <row r="58" spans="2:26" ht="14.25">
      <c r="B58" s="272">
        <f t="shared" si="6"/>
        <v>44013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Z58" s="68"/>
    </row>
    <row r="59" spans="2:26" ht="14.25">
      <c r="B59" s="272">
        <f t="shared" si="6"/>
        <v>44044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Z59" s="68"/>
    </row>
    <row r="60" spans="2:26" ht="14.25">
      <c r="B60" s="272">
        <f t="shared" si="6"/>
        <v>44075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Z60" s="68"/>
    </row>
    <row r="61" spans="2:26" ht="14.25">
      <c r="B61" s="272">
        <f t="shared" si="6"/>
        <v>44105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Z61" s="68"/>
    </row>
    <row r="62" spans="2:26" ht="14.25">
      <c r="B62" s="272">
        <f t="shared" si="6"/>
        <v>44136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Z62" s="68"/>
    </row>
    <row r="63" spans="2:26" ht="14.25">
      <c r="B63" s="272">
        <f t="shared" si="6"/>
        <v>44166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</row>
    <row r="64" spans="2:26" ht="14.25">
      <c r="B64" s="272">
        <f t="shared" si="6"/>
        <v>44197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</row>
    <row r="65" spans="2:24" ht="14.25">
      <c r="B65" s="272">
        <f t="shared" si="6"/>
        <v>44228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</row>
    <row r="66" spans="2:24" ht="14.25">
      <c r="B66" s="272">
        <f t="shared" si="6"/>
        <v>44256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</row>
    <row r="67" spans="2:24" ht="14.25">
      <c r="B67" s="272">
        <f t="shared" si="6"/>
        <v>44287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</row>
    <row r="68" spans="2:24" ht="14.25">
      <c r="B68" s="272">
        <f t="shared" si="6"/>
        <v>44317</v>
      </c>
      <c r="C68" s="209">
        <f ca="1">Encargos!C25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Encargos!D25</f>
        <v>0</v>
      </c>
      <c r="F68" s="100">
        <f ca="1">VLOOKUP($B$79,Índices!$B$6:$F$500,VLOOKUP(F$54,$L$7:$M$9,2,FALSE)+1,FALSE)/VLOOKUP(DATE(YEAR($B68),MONTH($B68)-1,1),Índices!$B$6:$F$500,VLOOKUP(F$54,$L$7:$M$9,2,FALSE)+1,FALSE)*E68</f>
        <v>0</v>
      </c>
      <c r="G68" s="209">
        <f ca="1">Encargos!E25</f>
        <v>-34.521193982584464</v>
      </c>
      <c r="H68" s="227">
        <f ca="1">VLOOKUP($B$48,Índices!$B$6:$F$500,VLOOKUP(H$54,$L$7:$M$9,2,FALSE)+1,FALSE)/VLOOKUP(DATE(YEAR($B68),MONTH($B68)-1,1),Índices!$B$6:$F$500,VLOOKUP(H$54,$L$7:$M$9,2,FALSE)+1,FALSE)*G68</f>
        <v>-38.709177583012647</v>
      </c>
      <c r="I68" s="209">
        <f ca="1">Encargos!F25</f>
        <v>-57.796479856233418</v>
      </c>
      <c r="J68" s="227">
        <f ca="1">VLOOKUP($B$48,Índices!$B$6:$F$500,VLOOKUP(J$54,$L$7:$M$9,2,FALSE)+1,FALSE)/VLOOKUP(DATE(YEAR($B68),MONTH($B68)-1,1),Índices!$B$6:$F$500,VLOOKUP(J$54,$L$7:$M$9,2,FALSE)+1,FALSE)*I68</f>
        <v>-64.808135070780608</v>
      </c>
      <c r="K68" s="209">
        <f ca="1">Encargos!J56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Encargos!G25</f>
        <v>-22.73044083550667</v>
      </c>
      <c r="N68" s="227">
        <f ca="1">VLOOKUP($B$48,Índices!$B$6:$F$500,VLOOKUP(N$54,$L$7:$M$9,2,FALSE)+1,FALSE)/VLOOKUP(DATE(YEAR($B68),MONTH($B68)-1,1),Índices!$B$6:$F$500,VLOOKUP(N$54,$L$7:$M$9,2,FALSE)+1,FALSE)*M68</f>
        <v>-25.488013864343088</v>
      </c>
      <c r="O68" s="209"/>
      <c r="P68" s="227">
        <f>VLOOKUP($B$48,Índices!$B$6:$F$500,VLOOKUP(P$54,$L$7:$M$9,2,FALSE)+1,FALSE)/VLOOKUP(DATE(YEAR($B68),MONTH($B68)-1,1),Índices!$B$6:$F$500,VLOOKUP(P$54,$L$7:$M$9,2,FALSE)+1,FALSE)*O68</f>
        <v>0</v>
      </c>
      <c r="Q68" s="209"/>
      <c r="R68" s="227">
        <f>VLOOKUP($B$48,Índices!$B$6:$F$500,VLOOKUP(R$54,$L$7:$M$9,2,FALSE)+1,FALSE)/VLOOKUP(DATE(YEAR($B68),MONTH($B68)-1,1),Índices!$B$6:$F$500,VLOOKUP(R$54,$L$7:$M$9,2,FALSE)+1,FALSE)*Q68</f>
        <v>0</v>
      </c>
      <c r="S68" s="209">
        <f>CVA!$D$33</f>
        <v>0</v>
      </c>
      <c r="T68" s="227">
        <f>VLOOKUP($B$48,Índices!$B$6:$F$500,VLOOKUP(T$54,$L$7:$M$9,2,FALSE)+1,FALSE)/VLOOKUP(DATE(YEAR($B68),MONTH($B68)-1,1),Índices!$B$6:$F$500,VLOOKUP(T$54,$L$7:$M$9,2,FALSE)+1,FALSE)*S68</f>
        <v>0</v>
      </c>
      <c r="U68" s="77"/>
      <c r="V68" s="77"/>
      <c r="W68" s="77"/>
      <c r="X68" s="77"/>
    </row>
    <row r="69" spans="2:24" ht="14.25">
      <c r="B69" s="272">
        <f t="shared" si="6"/>
        <v>44348</v>
      </c>
      <c r="C69" s="209">
        <f ca="1">Encargos!C26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Encargos!D26</f>
        <v>0</v>
      </c>
      <c r="F69" s="100">
        <f ca="1">VLOOKUP($B$79,Índices!$B$6:$F$500,VLOOKUP(F$54,$L$7:$M$9,2,FALSE)+1,FALSE)/VLOOKUP(DATE(YEAR($B69),MONTH($B69)-1,1),Índices!$B$6:$F$500,VLOOKUP(F$54,$L$7:$M$9,2,FALSE)+1,FALSE)*E69</f>
        <v>0</v>
      </c>
      <c r="G69" s="209">
        <f ca="1">Encargos!E26</f>
        <v>22.408173357985106</v>
      </c>
      <c r="H69" s="227">
        <f ca="1">VLOOKUP($B$48,Índices!$B$6:$F$500,VLOOKUP(H$54,$L$7:$M$9,2,FALSE)+1,FALSE)/VLOOKUP(DATE(YEAR($B69),MONTH($B69)-1,1),Índices!$B$6:$F$500,VLOOKUP(H$54,$L$7:$M$9,2,FALSE)+1,FALSE)*G69</f>
        <v>24.919799002574408</v>
      </c>
      <c r="I69" s="209">
        <f ca="1">Encargos!F26</f>
        <v>491.93502750472544</v>
      </c>
      <c r="J69" s="227">
        <f ca="1">VLOOKUP($B$48,Índices!$B$6:$F$500,VLOOKUP(J$54,$L$7:$M$9,2,FALSE)+1,FALSE)/VLOOKUP(DATE(YEAR($B69),MONTH($B69)-1,1),Índices!$B$6:$F$500,VLOOKUP(J$54,$L$7:$M$9,2,FALSE)+1,FALSE)*I69</f>
        <v>547.07368654728964</v>
      </c>
      <c r="K69" s="209">
        <f ca="1">Encargos!J57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Encargos!G26</f>
        <v>199.86549983102486</v>
      </c>
      <c r="N69" s="227">
        <f ca="1">VLOOKUP($B$48,Índices!$B$6:$F$500,VLOOKUP(N$54,$L$7:$M$9,2,FALSE)+1,FALSE)/VLOOKUP(DATE(YEAR($B69),MONTH($B69)-1,1),Índices!$B$6:$F$500,VLOOKUP(N$54,$L$7:$M$9,2,FALSE)+1,FALSE)*M69</f>
        <v>222.26747373691572</v>
      </c>
      <c r="O69" s="209"/>
      <c r="P69" s="227">
        <f>VLOOKUP($B$48,Índices!$B$6:$F$500,VLOOKUP(P$54,$L$7:$M$9,2,FALSE)+1,FALSE)/VLOOKUP(DATE(YEAR($B69),MONTH($B69)-1,1),Índices!$B$6:$F$500,VLOOKUP(P$54,$L$7:$M$9,2,FALSE)+1,FALSE)*O69</f>
        <v>0</v>
      </c>
      <c r="Q69" s="209"/>
      <c r="R69" s="227">
        <f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77"/>
      <c r="V69" s="77"/>
      <c r="W69" s="77"/>
      <c r="X69" s="77"/>
    </row>
    <row r="70" spans="2:24" ht="14.25">
      <c r="B70" s="272">
        <f t="shared" si="6"/>
        <v>44378</v>
      </c>
      <c r="C70" s="209">
        <f ca="1">Encargos!C27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Encargos!D27</f>
        <v>0</v>
      </c>
      <c r="F70" s="100">
        <f ca="1">VLOOKUP($B$79,Índices!$B$6:$F$500,VLOOKUP(F$54,$L$7:$M$9,2,FALSE)+1,FALSE)/VLOOKUP(DATE(YEAR($B70),MONTH($B70)-1,1),Índices!$B$6:$F$500,VLOOKUP(F$54,$L$7:$M$9,2,FALSE)+1,FALSE)*E70</f>
        <v>0</v>
      </c>
      <c r="G70" s="209">
        <f ca="1">Encargos!E27</f>
        <v>69.854296572317253</v>
      </c>
      <c r="H70" s="227">
        <f ca="1">VLOOKUP($B$48,Índices!$B$6:$F$500,VLOOKUP(H$54,$L$7:$M$9,2,FALSE)+1,FALSE)/VLOOKUP(DATE(YEAR($B70),MONTH($B70)-1,1),Índices!$B$6:$F$500,VLOOKUP(H$54,$L$7:$M$9,2,FALSE)+1,FALSE)*G70</f>
        <v>77.274374002251719</v>
      </c>
      <c r="I70" s="209">
        <f ca="1">Encargos!F27</f>
        <v>1067.7981675605406</v>
      </c>
      <c r="J70" s="227">
        <f ca="1">VLOOKUP($B$48,Índices!$B$6:$F$500,VLOOKUP(J$54,$L$7:$M$9,2,FALSE)+1,FALSE)/VLOOKUP(DATE(YEAR($B70),MONTH($B70)-1,1),Índices!$B$6:$F$500,VLOOKUP(J$54,$L$7:$M$9,2,FALSE)+1,FALSE)*I70</f>
        <v>1181.2220437087865</v>
      </c>
      <c r="K70" s="209">
        <f ca="1">Encargos!J58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Encargos!G27</f>
        <v>434.90642834959635</v>
      </c>
      <c r="N70" s="227">
        <f ca="1">VLOOKUP($B$48,Índices!$B$6:$F$500,VLOOKUP(N$54,$L$7:$M$9,2,FALSE)+1,FALSE)/VLOOKUP(DATE(YEAR($B70),MONTH($B70)-1,1),Índices!$B$6:$F$500,VLOOKUP(N$54,$L$7:$M$9,2,FALSE)+1,FALSE)*M70</f>
        <v>481.10314825771871</v>
      </c>
      <c r="O70" s="209"/>
      <c r="P70" s="227">
        <f>VLOOKUP($B$48,Índices!$B$6:$F$500,VLOOKUP(P$54,$L$7:$M$9,2,FALSE)+1,FALSE)/VLOOKUP(DATE(YEAR($B70),MONTH($B70)-1,1),Índices!$B$6:$F$500,VLOOKUP(P$54,$L$7:$M$9,2,FALSE)+1,FALSE)*O70</f>
        <v>0</v>
      </c>
      <c r="Q70" s="209"/>
      <c r="R70" s="227">
        <f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77"/>
      <c r="V70" s="77"/>
      <c r="W70" s="77"/>
      <c r="X70" s="77"/>
    </row>
    <row r="71" spans="2:24" ht="14.25">
      <c r="B71" s="272">
        <f t="shared" si="6"/>
        <v>44409</v>
      </c>
      <c r="C71" s="209">
        <f ca="1">Encargos!C28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Encargos!D28</f>
        <v>0</v>
      </c>
      <c r="F71" s="100">
        <f ca="1">VLOOKUP($B$79,Índices!$B$6:$F$500,VLOOKUP(F$54,$L$7:$M$9,2,FALSE)+1,FALSE)/VLOOKUP(DATE(YEAR($B71),MONTH($B71)-1,1),Índices!$B$6:$F$500,VLOOKUP(F$54,$L$7:$M$9,2,FALSE)+1,FALSE)*E71</f>
        <v>0</v>
      </c>
      <c r="G71" s="209">
        <f ca="1">Encargos!E28</f>
        <v>73.615200719614904</v>
      </c>
      <c r="H71" s="227">
        <f ca="1">VLOOKUP($B$48,Índices!$B$6:$F$500,VLOOKUP(H$54,$L$7:$M$9,2,FALSE)+1,FALSE)/VLOOKUP(DATE(YEAR($B71),MONTH($B71)-1,1),Índices!$B$6:$F$500,VLOOKUP(H$54,$L$7:$M$9,2,FALSE)+1,FALSE)*G71</f>
        <v>80.66045459244917</v>
      </c>
      <c r="I71" s="209">
        <f ca="1">Encargos!F28</f>
        <v>1135.5399512726981</v>
      </c>
      <c r="J71" s="227">
        <f ca="1">VLOOKUP($B$48,Índices!$B$6:$F$500,VLOOKUP(J$54,$L$7:$M$9,2,FALSE)+1,FALSE)/VLOOKUP(DATE(YEAR($B71),MONTH($B71)-1,1),Índices!$B$6:$F$500,VLOOKUP(J$54,$L$7:$M$9,2,FALSE)+1,FALSE)*I71</f>
        <v>1244.2154308103143</v>
      </c>
      <c r="K71" s="209">
        <f ca="1">Encargos!J59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Encargos!G28</f>
        <v>459.17558201333304</v>
      </c>
      <c r="N71" s="227">
        <f ca="1">VLOOKUP($B$48,Índices!$B$6:$F$500,VLOOKUP(N$54,$L$7:$M$9,2,FALSE)+1,FALSE)/VLOOKUP(DATE(YEAR($B71),MONTH($B71)-1,1),Índices!$B$6:$F$500,VLOOKUP(N$54,$L$7:$M$9,2,FALSE)+1,FALSE)*M71</f>
        <v>503.12042650016457</v>
      </c>
      <c r="O71" s="209"/>
      <c r="P71" s="227">
        <f>VLOOKUP($B$48,Índices!$B$6:$F$500,VLOOKUP(P$54,$L$7:$M$9,2,FALSE)+1,FALSE)/VLOOKUP(DATE(YEAR($B71),MONTH($B71)-1,1),Índices!$B$6:$F$500,VLOOKUP(P$54,$L$7:$M$9,2,FALSE)+1,FALSE)*O71</f>
        <v>0</v>
      </c>
      <c r="Q71" s="209"/>
      <c r="R71" s="227">
        <f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77"/>
      <c r="V71" s="77"/>
      <c r="W71" s="77"/>
      <c r="X71" s="77"/>
    </row>
    <row r="72" spans="2:24" ht="14.25">
      <c r="B72" s="272">
        <f t="shared" si="6"/>
        <v>44440</v>
      </c>
      <c r="C72" s="209">
        <f ca="1">Encargos!C29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Encargos!D29</f>
        <v>0</v>
      </c>
      <c r="F72" s="100">
        <f ca="1">VLOOKUP($B$79,Índices!$B$6:$F$500,VLOOKUP(F$54,$L$7:$M$9,2,FALSE)+1,FALSE)/VLOOKUP(DATE(YEAR($B72),MONTH($B72)-1,1),Índices!$B$6:$F$500,VLOOKUP(F$54,$L$7:$M$9,2,FALSE)+1,FALSE)*E72</f>
        <v>0</v>
      </c>
      <c r="G72" s="209">
        <f ca="1">Encargos!E29</f>
        <v>17.024067031150707</v>
      </c>
      <c r="H72" s="227">
        <f ca="1">VLOOKUP($B$48,Índices!$B$6:$F$500,VLOOKUP(H$54,$L$7:$M$9,2,FALSE)+1,FALSE)/VLOOKUP(DATE(YEAR($B72),MONTH($B72)-1,1),Índices!$B$6:$F$500,VLOOKUP(H$54,$L$7:$M$9,2,FALSE)+1,FALSE)*G72</f>
        <v>18.492452748324336</v>
      </c>
      <c r="I72" s="209">
        <f ca="1">Encargos!F29</f>
        <v>380.49238299864555</v>
      </c>
      <c r="J72" s="227">
        <f ca="1">VLOOKUP($B$48,Índices!$B$6:$F$500,VLOOKUP(J$54,$L$7:$M$9,2,FALSE)+1,FALSE)/VLOOKUP(DATE(YEAR($B72),MONTH($B72)-1,1),Índices!$B$6:$F$500,VLOOKUP(J$54,$L$7:$M$9,2,FALSE)+1,FALSE)*I72</f>
        <v>413.31119061178759</v>
      </c>
      <c r="K72" s="209">
        <f ca="1">Encargos!J60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Encargos!G29</f>
        <v>143.31177143320747</v>
      </c>
      <c r="N72" s="227">
        <f ca="1">VLOOKUP($B$48,Índices!$B$6:$F$500,VLOOKUP(N$54,$L$7:$M$9,2,FALSE)+1,FALSE)/VLOOKUP(DATE(YEAR($B72),MONTH($B72)-1,1),Índices!$B$6:$F$500,VLOOKUP(N$54,$L$7:$M$9,2,FALSE)+1,FALSE)*M72</f>
        <v>155.67291626953332</v>
      </c>
      <c r="O72" s="209"/>
      <c r="P72" s="227">
        <f>VLOOKUP($B$48,Índices!$B$6:$F$500,VLOOKUP(P$54,$L$7:$M$9,2,FALSE)+1,FALSE)/VLOOKUP(DATE(YEAR($B72),MONTH($B72)-1,1),Índices!$B$6:$F$500,VLOOKUP(P$54,$L$7:$M$9,2,FALSE)+1,FALSE)*O72</f>
        <v>0</v>
      </c>
      <c r="Q72" s="209"/>
      <c r="R72" s="227">
        <f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77"/>
      <c r="V72" s="77"/>
      <c r="W72" s="77"/>
      <c r="X72" s="77"/>
    </row>
    <row r="73" spans="2:24" ht="14.25">
      <c r="B73" s="272">
        <f t="shared" si="6"/>
        <v>44470</v>
      </c>
      <c r="C73" s="209">
        <f ca="1">Encargos!C30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Encargos!D30</f>
        <v>0</v>
      </c>
      <c r="F73" s="100">
        <f ca="1">VLOOKUP($B$79,Índices!$B$6:$F$500,VLOOKUP(F$54,$L$7:$M$9,2,FALSE)+1,FALSE)/VLOOKUP(DATE(YEAR($B73),MONTH($B73)-1,1),Índices!$B$6:$F$500,VLOOKUP(F$54,$L$7:$M$9,2,FALSE)+1,FALSE)*E73</f>
        <v>0</v>
      </c>
      <c r="G73" s="209">
        <f ca="1">Encargos!E30</f>
        <v>-8.6269294905152947</v>
      </c>
      <c r="H73" s="227">
        <f ca="1">VLOOKUP($B$48,Índices!$B$6:$F$500,VLOOKUP(H$54,$L$7:$M$9,2,FALSE)+1,FALSE)/VLOOKUP(DATE(YEAR($B73),MONTH($B73)-1,1),Índices!$B$6:$F$500,VLOOKUP(H$54,$L$7:$M$9,2,FALSE)+1,FALSE)*G73</f>
        <v>-9.263578458099607</v>
      </c>
      <c r="I73" s="209">
        <f ca="1">Encargos!F30</f>
        <v>121.21152450677619</v>
      </c>
      <c r="J73" s="227">
        <f ca="1">VLOOKUP($B$48,Índices!$B$6:$F$500,VLOOKUP(J$54,$L$7:$M$9,2,FALSE)+1,FALSE)/VLOOKUP(DATE(YEAR($B73),MONTH($B73)-1,1),Índices!$B$6:$F$500,VLOOKUP(J$54,$L$7:$M$9,2,FALSE)+1,FALSE)*I73</f>
        <v>130.15667608375404</v>
      </c>
      <c r="K73" s="209">
        <f ca="1">Encargos!J61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Encargos!G30</f>
        <v>40.938714776428242</v>
      </c>
      <c r="N73" s="227">
        <f ca="1">VLOOKUP($B$48,Índices!$B$6:$F$500,VLOOKUP(N$54,$L$7:$M$9,2,FALSE)+1,FALSE)/VLOOKUP(DATE(YEAR($B73),MONTH($B73)-1,1),Índices!$B$6:$F$500,VLOOKUP(N$54,$L$7:$M$9,2,FALSE)+1,FALSE)*M73</f>
        <v>43.959904473793543</v>
      </c>
      <c r="O73" s="209"/>
      <c r="P73" s="227">
        <f>VLOOKUP($B$48,Índices!$B$6:$F$500,VLOOKUP(P$54,$L$7:$M$9,2,FALSE)+1,FALSE)/VLOOKUP(DATE(YEAR($B73),MONTH($B73)-1,1),Índices!$B$6:$F$500,VLOOKUP(P$54,$L$7:$M$9,2,FALSE)+1,FALSE)*O73</f>
        <v>0</v>
      </c>
      <c r="Q73" s="209"/>
      <c r="R73" s="227">
        <f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77"/>
      <c r="V73" s="77"/>
      <c r="W73" s="77"/>
      <c r="X73" s="77"/>
    </row>
    <row r="74" spans="2:24" ht="14.25">
      <c r="B74" s="272">
        <f t="shared" si="6"/>
        <v>44501</v>
      </c>
      <c r="C74" s="209">
        <f ca="1">Encargos!C31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Encargos!D31</f>
        <v>0</v>
      </c>
      <c r="F74" s="100">
        <f ca="1">VLOOKUP($B$79,Índices!$B$6:$F$500,VLOOKUP(F$54,$L$7:$M$9,2,FALSE)+1,FALSE)/VLOOKUP(DATE(YEAR($B74),MONTH($B74)-1,1),Índices!$B$6:$F$500,VLOOKUP(F$54,$L$7:$M$9,2,FALSE)+1,FALSE)*E74</f>
        <v>0</v>
      </c>
      <c r="G74" s="209">
        <f ca="1">Encargos!E31</f>
        <v>-245.5301588268851</v>
      </c>
      <c r="H74" s="227">
        <f ca="1">VLOOKUP($B$48,Índices!$B$6:$F$500,VLOOKUP(H$54,$L$7:$M$9,2,FALSE)+1,FALSE)/VLOOKUP(DATE(YEAR($B74),MONTH($B74)-1,1),Índices!$B$6:$F$500,VLOOKUP(H$54,$L$7:$M$9,2,FALSE)+1,FALSE)*G74</f>
        <v>-260.39493831080256</v>
      </c>
      <c r="I74" s="209">
        <f ca="1">Encargos!F31</f>
        <v>-2346.2609750978791</v>
      </c>
      <c r="J74" s="227">
        <f ca="1">VLOOKUP($B$48,Índices!$B$6:$F$500,VLOOKUP(J$54,$L$7:$M$9,2,FALSE)+1,FALSE)/VLOOKUP(DATE(YEAR($B74),MONTH($B74)-1,1),Índices!$B$6:$F$500,VLOOKUP(J$54,$L$7:$M$9,2,FALSE)+1,FALSE)*I74</f>
        <v>-2488.3072808274392</v>
      </c>
      <c r="K74" s="209">
        <f ca="1">Encargos!J62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Encargos!G31</f>
        <v>-969.9726030333095</v>
      </c>
      <c r="N74" s="227">
        <f ca="1">VLOOKUP($B$48,Índices!$B$6:$F$500,VLOOKUP(N$54,$L$7:$M$9,2,FALSE)+1,FALSE)/VLOOKUP(DATE(YEAR($B74),MONTH($B74)-1,1),Índices!$B$6:$F$500,VLOOKUP(N$54,$L$7:$M$9,2,FALSE)+1,FALSE)*M74</f>
        <v>-1028.6962601124283</v>
      </c>
      <c r="O74" s="209"/>
      <c r="P74" s="227">
        <f>VLOOKUP($B$48,Índices!$B$6:$F$500,VLOOKUP(P$54,$L$7:$M$9,2,FALSE)+1,FALSE)/VLOOKUP(DATE(YEAR($B74),MONTH($B74)-1,1),Índices!$B$6:$F$500,VLOOKUP(P$54,$L$7:$M$9,2,FALSE)+1,FALSE)*O74</f>
        <v>0</v>
      </c>
      <c r="Q74" s="209"/>
      <c r="R74" s="227">
        <f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77"/>
      <c r="V74" s="77"/>
      <c r="W74" s="77"/>
      <c r="X74" s="77"/>
    </row>
    <row r="75" spans="2:24" ht="14.25">
      <c r="B75" s="272">
        <f t="shared" si="6"/>
        <v>44531</v>
      </c>
      <c r="C75" s="209">
        <f ca="1">Encargos!C32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Encargos!D32</f>
        <v>0</v>
      </c>
      <c r="F75" s="100">
        <f ca="1">VLOOKUP($B$79,Índices!$B$6:$F$500,VLOOKUP(F$54,$L$7:$M$9,2,FALSE)+1,FALSE)/VLOOKUP(DATE(YEAR($B75),MONTH($B75)-1,1),Índices!$B$6:$F$500,VLOOKUP(F$54,$L$7:$M$9,2,FALSE)+1,FALSE)*E75</f>
        <v>0</v>
      </c>
      <c r="G75" s="209">
        <f ca="1">Encargos!E32</f>
        <v>-158.29181139450316</v>
      </c>
      <c r="H75" s="227">
        <f ca="1">VLOOKUP($B$48,Índices!$B$6:$F$500,VLOOKUP(H$54,$L$7:$M$9,2,FALSE)+1,FALSE)/VLOOKUP(DATE(YEAR($B75),MONTH($B75)-1,1),Índices!$B$6:$F$500,VLOOKUP(H$54,$L$7:$M$9,2,FALSE)+1,FALSE)*G75</f>
        <v>-166.29512649818312</v>
      </c>
      <c r="I75" s="209">
        <f ca="1">Encargos!F32</f>
        <v>-1377.7786137181629</v>
      </c>
      <c r="J75" s="227">
        <f ca="1">VLOOKUP($B$48,Índices!$B$6:$F$500,VLOOKUP(J$54,$L$7:$M$9,2,FALSE)+1,FALSE)/VLOOKUP(DATE(YEAR($B75),MONTH($B75)-1,1),Índices!$B$6:$F$500,VLOOKUP(J$54,$L$7:$M$9,2,FALSE)+1,FALSE)*I75</f>
        <v>-1447.4398064959514</v>
      </c>
      <c r="K75" s="209">
        <f ca="1">Encargos!J63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Encargos!G32</f>
        <v>-576.52564445585358</v>
      </c>
      <c r="N75" s="227">
        <f ca="1">VLOOKUP($B$48,Índices!$B$6:$F$500,VLOOKUP(N$54,$L$7:$M$9,2,FALSE)+1,FALSE)/VLOOKUP(DATE(YEAR($B75),MONTH($B75)-1,1),Índices!$B$6:$F$500,VLOOKUP(N$54,$L$7:$M$9,2,FALSE)+1,FALSE)*M75</f>
        <v>-605.67507649079835</v>
      </c>
      <c r="O75" s="209"/>
      <c r="P75" s="227">
        <f>VLOOKUP($B$48,Índices!$B$6:$F$500,VLOOKUP(P$54,$L$7:$M$9,2,FALSE)+1,FALSE)/VLOOKUP(DATE(YEAR($B75),MONTH($B75)-1,1),Índices!$B$6:$F$500,VLOOKUP(P$54,$L$7:$M$9,2,FALSE)+1,FALSE)*O75</f>
        <v>0</v>
      </c>
      <c r="Q75" s="209"/>
      <c r="R75" s="227">
        <f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77"/>
      <c r="V75" s="77"/>
      <c r="W75" s="77"/>
      <c r="X75" s="77"/>
    </row>
    <row r="76" spans="2:24" ht="14.25">
      <c r="B76" s="272">
        <f t="shared" si="6"/>
        <v>44562</v>
      </c>
      <c r="C76" s="209">
        <f ca="1">Encargos!C33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Encargos!D33</f>
        <v>0</v>
      </c>
      <c r="F76" s="100">
        <f ca="1">VLOOKUP($B$79,Índices!$B$6:$F$500,VLOOKUP(F$54,$L$7:$M$9,2,FALSE)+1,FALSE)/VLOOKUP(DATE(YEAR($B76),MONTH($B76)-1,1),Índices!$B$6:$F$500,VLOOKUP(F$54,$L$7:$M$9,2,FALSE)+1,FALSE)*E76</f>
        <v>0</v>
      </c>
      <c r="G76" s="209">
        <f ca="1">Encargos!E33</f>
        <v>-116.93960180374506</v>
      </c>
      <c r="H76" s="227">
        <f ca="1">VLOOKUP($B$48,Índices!$B$6:$F$500,VLOOKUP(H$54,$L$7:$M$9,2,FALSE)+1,FALSE)/VLOOKUP(DATE(YEAR($B76),MONTH($B76)-1,1),Índices!$B$6:$F$500,VLOOKUP(H$54,$L$7:$M$9,2,FALSE)+1,FALSE)*G76</f>
        <v>-121.96185736712314</v>
      </c>
      <c r="I76" s="209">
        <f ca="1">Encargos!F33</f>
        <v>-808.48197453064313</v>
      </c>
      <c r="J76" s="227">
        <f ca="1">VLOOKUP($B$48,Índices!$B$6:$F$500,VLOOKUP(J$54,$L$7:$M$9,2,FALSE)+1,FALSE)/VLOOKUP(DATE(YEAR($B76),MONTH($B76)-1,1),Índices!$B$6:$F$500,VLOOKUP(J$54,$L$7:$M$9,2,FALSE)+1,FALSE)*I76</f>
        <v>-843.20419892552206</v>
      </c>
      <c r="K76" s="209">
        <f ca="1">Encargos!J64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Encargos!G33</f>
        <v>-333.03093009782424</v>
      </c>
      <c r="N76" s="227">
        <f ca="1">VLOOKUP($B$48,Índices!$B$6:$F$500,VLOOKUP(N$54,$L$7:$M$9,2,FALSE)+1,FALSE)/VLOOKUP(DATE(YEAR($B76),MONTH($B76)-1,1),Índices!$B$6:$F$500,VLOOKUP(N$54,$L$7:$M$9,2,FALSE)+1,FALSE)*M76</f>
        <v>-347.33375322756069</v>
      </c>
      <c r="O76" s="209"/>
      <c r="P76" s="227">
        <f>VLOOKUP($B$48,Índices!$B$6:$F$500,VLOOKUP(P$54,$L$7:$M$9,2,FALSE)+1,FALSE)/VLOOKUP(DATE(YEAR($B76),MONTH($B76)-1,1),Índices!$B$6:$F$500,VLOOKUP(P$54,$L$7:$M$9,2,FALSE)+1,FALSE)*O76</f>
        <v>0</v>
      </c>
      <c r="Q76" s="209"/>
      <c r="R76" s="227">
        <f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77"/>
      <c r="V76" s="77"/>
      <c r="W76" s="77"/>
      <c r="X76" s="77"/>
    </row>
    <row r="77" spans="2:24" ht="14.25">
      <c r="B77" s="272">
        <f t="shared" si="6"/>
        <v>44593</v>
      </c>
      <c r="C77" s="209">
        <f ca="1">Encargos!C34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Encargos!D34</f>
        <v>0</v>
      </c>
      <c r="F77" s="100">
        <f ca="1">VLOOKUP($B$79,Índices!$B$6:$F$500,VLOOKUP(F$54,$L$7:$M$9,2,FALSE)+1,FALSE)/VLOOKUP(DATE(YEAR($B77),MONTH($B77)-1,1),Índices!$B$6:$F$500,VLOOKUP(F$54,$L$7:$M$9,2,FALSE)+1,FALSE)*E77</f>
        <v>0</v>
      </c>
      <c r="G77" s="209">
        <f ca="1">Encargos!E34</f>
        <v>-93.576587010094727</v>
      </c>
      <c r="H77" s="227">
        <f ca="1">VLOOKUP($B$48,Índices!$B$6:$F$500,VLOOKUP(H$54,$L$7:$M$9,2,FALSE)+1,FALSE)/VLOOKUP(DATE(YEAR($B77),MONTH($B77)-1,1),Índices!$B$6:$F$500,VLOOKUP(H$54,$L$7:$M$9,2,FALSE)+1,FALSE)*G77</f>
        <v>-97.071248055041181</v>
      </c>
      <c r="I77" s="209">
        <f ca="1">Encargos!F34</f>
        <v>-0.61972300625166099</v>
      </c>
      <c r="J77" s="227">
        <f ca="1">VLOOKUP($B$48,Índices!$B$6:$F$500,VLOOKUP(J$54,$L$7:$M$9,2,FALSE)+1,FALSE)/VLOOKUP(DATE(YEAR($B77),MONTH($B77)-1,1),Índices!$B$6:$F$500,VLOOKUP(J$54,$L$7:$M$9,2,FALSE)+1,FALSE)*I77</f>
        <v>-0.64286684936245064</v>
      </c>
      <c r="K77" s="209">
        <f ca="1">Encargos!J65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Encargos!G34</f>
        <v>-2.9133055441907345</v>
      </c>
      <c r="N77" s="227">
        <f ca="1">VLOOKUP($B$48,Índices!$B$6:$F$500,VLOOKUP(N$54,$L$7:$M$9,2,FALSE)+1,FALSE)/VLOOKUP(DATE(YEAR($B77),MONTH($B77)-1,1),Índices!$B$6:$F$500,VLOOKUP(N$54,$L$7:$M$9,2,FALSE)+1,FALSE)*M77</f>
        <v>-3.0221042909991818</v>
      </c>
      <c r="O77" s="209"/>
      <c r="P77" s="227">
        <f>VLOOKUP($B$48,Índices!$B$6:$F$500,VLOOKUP(P$54,$L$7:$M$9,2,FALSE)+1,FALSE)/VLOOKUP(DATE(YEAR($B77),MONTH($B77)-1,1),Índices!$B$6:$F$500,VLOOKUP(P$54,$L$7:$M$9,2,FALSE)+1,FALSE)*O77</f>
        <v>0</v>
      </c>
      <c r="Q77" s="209"/>
      <c r="R77" s="227">
        <f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77"/>
      <c r="V77" s="77"/>
      <c r="W77" s="77"/>
      <c r="X77" s="77"/>
    </row>
    <row r="78" spans="2:24" ht="14.25">
      <c r="B78" s="272">
        <f t="shared" si="6"/>
        <v>44621</v>
      </c>
      <c r="C78" s="209">
        <f ca="1">Encargos!C35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Encargos!D35</f>
        <v>0</v>
      </c>
      <c r="F78" s="100">
        <f ca="1">VLOOKUP($B$79,Índices!$B$6:$F$500,VLOOKUP(F$54,$L$7:$M$9,2,FALSE)+1,FALSE)/VLOOKUP(DATE(YEAR($B78),MONTH($B78)-1,1),Índices!$B$6:$F$500,VLOOKUP(F$54,$L$7:$M$9,2,FALSE)+1,FALSE)*E78</f>
        <v>0</v>
      </c>
      <c r="G78" s="209">
        <f ca="1">Encargos!E35</f>
        <v>-216.88487142347617</v>
      </c>
      <c r="H78" s="227">
        <f ca="1">VLOOKUP($B$48,Índices!$B$6:$F$500,VLOOKUP(H$54,$L$7:$M$9,2,FALSE)+1,FALSE)/VLOOKUP(DATE(YEAR($B78),MONTH($B78)-1,1),Índices!$B$6:$F$500,VLOOKUP(H$54,$L$7:$M$9,2,FALSE)+1,FALSE)*G78</f>
        <v>-222.73477904497295</v>
      </c>
      <c r="I78" s="209">
        <f ca="1">Encargos!F35</f>
        <v>-1061.2727244300313</v>
      </c>
      <c r="J78" s="227">
        <f ca="1">VLOOKUP($B$48,Índices!$B$6:$F$500,VLOOKUP(J$54,$L$7:$M$9,2,FALSE)+1,FALSE)/VLOOKUP(DATE(YEAR($B78),MONTH($B78)-1,1),Índices!$B$6:$F$500,VLOOKUP(J$54,$L$7:$M$9,2,FALSE)+1,FALSE)*I78</f>
        <v>-1089.8978072141958</v>
      </c>
      <c r="K78" s="209">
        <f ca="1">Encargos!J66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Encargos!G35</f>
        <v>-441.53814738589153</v>
      </c>
      <c r="N78" s="227">
        <f ca="1">VLOOKUP($B$48,Índices!$B$6:$F$500,VLOOKUP(N$54,$L$7:$M$9,2,FALSE)+1,FALSE)/VLOOKUP(DATE(YEAR($B78),MONTH($B78)-1,1),Índices!$B$6:$F$500,VLOOKUP(N$54,$L$7:$M$9,2,FALSE)+1,FALSE)*M78</f>
        <v>-453.4474952192449</v>
      </c>
      <c r="O78" s="209"/>
      <c r="P78" s="227">
        <f>VLOOKUP($B$48,Índices!$B$6:$F$500,VLOOKUP(P$54,$L$7:$M$9,2,FALSE)+1,FALSE)/VLOOKUP(DATE(YEAR($B78),MONTH($B78)-1,1),Índices!$B$6:$F$500,VLOOKUP(P$54,$L$7:$M$9,2,FALSE)+1,FALSE)*O78</f>
        <v>0</v>
      </c>
      <c r="Q78" s="209"/>
      <c r="R78" s="227">
        <f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77"/>
      <c r="V78" s="77"/>
      <c r="W78" s="77"/>
      <c r="X78" s="77"/>
    </row>
    <row r="79" spans="2:24" ht="14.25">
      <c r="B79" s="272">
        <f t="shared" si="6"/>
        <v>44652</v>
      </c>
      <c r="C79" s="209">
        <f ca="1">Encargos!C36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Encargos!D36</f>
        <v>0</v>
      </c>
      <c r="F79" s="100">
        <f ca="1">VLOOKUP($B$79,Índices!$B$6:$F$500,VLOOKUP(F$54,$L$7:$M$9,2,FALSE)+1,FALSE)/VLOOKUP(DATE(YEAR($B79),MONTH($B79)-1,1),Índices!$B$6:$F$500,VLOOKUP(F$54,$L$7:$M$9,2,FALSE)+1,FALSE)*E79</f>
        <v>0</v>
      </c>
      <c r="G79" s="209">
        <f ca="1">Encargos!E36</f>
        <v>-161.85905556767807</v>
      </c>
      <c r="H79" s="227">
        <f ca="1">VLOOKUP($B$48,Índices!$B$6:$F$500,VLOOKUP(H$54,$L$7:$M$9,2,FALSE)+1,FALSE)/VLOOKUP(DATE(YEAR($B79),MONTH($B79)-1,1),Índices!$B$6:$F$500,VLOOKUP(H$54,$L$7:$M$9,2,FALSE)+1,FALSE)*G79</f>
        <v>-163.57479082285917</v>
      </c>
      <c r="I79" s="209">
        <f ca="1">Encargos!F36</f>
        <v>-269.93136009911359</v>
      </c>
      <c r="J79" s="227">
        <f ca="1">VLOOKUP($B$48,Índices!$B$6:$F$500,VLOOKUP(J$54,$L$7:$M$9,2,FALSE)+1,FALSE)/VLOOKUP(DATE(YEAR($B79),MONTH($B79)-1,1),Índices!$B$6:$F$500,VLOOKUP(J$54,$L$7:$M$9,2,FALSE)+1,FALSE)*I79</f>
        <v>-272.79268132316696</v>
      </c>
      <c r="K79" s="209">
        <f ca="1">Encargos!J67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Encargos!G36</f>
        <v>-116.26102483784962</v>
      </c>
      <c r="N79" s="227">
        <f ca="1">VLOOKUP($B$48,Índices!$B$6:$F$500,VLOOKUP(N$54,$L$7:$M$9,2,FALSE)+1,FALSE)/VLOOKUP(DATE(YEAR($B79),MONTH($B79)-1,1),Índices!$B$6:$F$500,VLOOKUP(N$54,$L$7:$M$9,2,FALSE)+1,FALSE)*M79</f>
        <v>-117.49341272259406</v>
      </c>
      <c r="O79" s="209"/>
      <c r="P79" s="227">
        <f>VLOOKUP($B$48,Índices!$B$6:$F$500,VLOOKUP(P$54,$L$7:$M$9,2,FALSE)+1,FALSE)/VLOOKUP(DATE(YEAR($B79),MONTH($B79)-1,1),Índices!$B$6:$F$500,VLOOKUP(P$54,$L$7:$M$9,2,FALSE)+1,FALSE)*O79</f>
        <v>0</v>
      </c>
      <c r="Q79" s="209"/>
      <c r="R79" s="227">
        <f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77"/>
      <c r="V79" s="77"/>
      <c r="W79" s="77"/>
      <c r="X79" s="77"/>
    </row>
    <row r="80" spans="2:24" ht="14.25">
      <c r="C80" s="1563">
        <f ca="1">SUM(C56:C79)</f>
        <v>0</v>
      </c>
      <c r="D80" s="1564">
        <f ca="1">SUM(D56:D79)</f>
        <v>0</v>
      </c>
      <c r="E80" s="1563">
        <f ca="1">SUM(E56:E79)</f>
        <v>0</v>
      </c>
      <c r="F80" s="1564">
        <f ca="1">SUM(F56:F79)</f>
        <v>0</v>
      </c>
      <c r="G80" s="1563">
        <f ca="1">SUM(G55:G79)</f>
        <v>-853.32847181841407</v>
      </c>
      <c r="H80" s="1563">
        <f t="shared" ref="H80:N80" ca="1" si="7">SUM(H55:H79)</f>
        <v>-878.65841579449477</v>
      </c>
      <c r="I80" s="1563">
        <f t="shared" ca="1" si="7"/>
        <v>-2725.1647968949292</v>
      </c>
      <c r="J80" s="1563">
        <f t="shared" ca="1" si="7"/>
        <v>-2691.1137489444864</v>
      </c>
      <c r="K80" s="1563">
        <f t="shared" ca="1" si="7"/>
        <v>0</v>
      </c>
      <c r="L80" s="1563">
        <f t="shared" ca="1" si="7"/>
        <v>0</v>
      </c>
      <c r="M80" s="1563">
        <f t="shared" ca="1" si="7"/>
        <v>-1184.7740997868359</v>
      </c>
      <c r="N80" s="1563">
        <f t="shared" ca="1" si="7"/>
        <v>-1175.0322466898426</v>
      </c>
      <c r="O80" s="1563">
        <f t="shared" ref="O80:T80" si="8">SUM(O55:O79)</f>
        <v>0</v>
      </c>
      <c r="P80" s="1563">
        <f t="shared" si="8"/>
        <v>0</v>
      </c>
      <c r="Q80" s="1563">
        <f t="shared" si="8"/>
        <v>0</v>
      </c>
      <c r="R80" s="1566">
        <f t="shared" si="8"/>
        <v>0</v>
      </c>
      <c r="S80" s="1563">
        <f t="shared" si="8"/>
        <v>0</v>
      </c>
      <c r="T80" s="1566">
        <f t="shared" si="8"/>
        <v>0</v>
      </c>
      <c r="U80" s="77"/>
      <c r="V80" s="77"/>
      <c r="W80" s="77"/>
      <c r="X80" s="77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7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O53:P53"/>
    <mergeCell ref="Q53:R53"/>
    <mergeCell ref="Q22:R22"/>
    <mergeCell ref="S53:T53"/>
  </mergeCells>
  <phoneticPr fontId="111" type="noConversion"/>
  <dataValidations count="3">
    <dataValidation type="list" allowBlank="1" showErrorMessage="1" prompt="_x000a_" sqref="H23 J23 N54 L54 J54 F54 H54 D54 N23 F23:F24 D23:D24 D12:J12 L23 P23 R23 T23 V23 P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workbookViewId="0"/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1526</v>
      </c>
      <c r="C1" s="9" t="s">
        <v>1527</v>
      </c>
      <c r="D1" s="9" t="s">
        <v>1528</v>
      </c>
      <c r="E1" s="235" t="s">
        <v>1529</v>
      </c>
      <c r="F1" s="235" t="s">
        <v>1530</v>
      </c>
      <c r="G1" s="235" t="s">
        <v>1531</v>
      </c>
      <c r="H1" s="235" t="s">
        <v>1532</v>
      </c>
      <c r="I1" s="9" t="s">
        <v>232</v>
      </c>
      <c r="J1" s="9" t="s">
        <v>1533</v>
      </c>
      <c r="K1" s="9" t="s">
        <v>1534</v>
      </c>
      <c r="L1" s="9" t="s">
        <v>1535</v>
      </c>
      <c r="M1" s="9" t="s">
        <v>1536</v>
      </c>
      <c r="N1" s="9" t="s">
        <v>1040</v>
      </c>
      <c r="O1" s="9" t="s">
        <v>954</v>
      </c>
      <c r="P1" s="9" t="s">
        <v>1537</v>
      </c>
      <c r="Q1" s="8" t="s">
        <v>948</v>
      </c>
      <c r="R1" s="17" t="s">
        <v>1538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workbookViewId="0"/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1527</v>
      </c>
      <c r="B1" t="s">
        <v>1039</v>
      </c>
      <c r="C1" t="s">
        <v>1539</v>
      </c>
      <c r="D1" t="s">
        <v>958</v>
      </c>
      <c r="E1" t="s">
        <v>1540</v>
      </c>
      <c r="F1" t="s">
        <v>58</v>
      </c>
      <c r="G1" t="s">
        <v>587</v>
      </c>
      <c r="H1" t="s">
        <v>1040</v>
      </c>
      <c r="I1" t="s">
        <v>120</v>
      </c>
      <c r="J1" t="s">
        <v>1531</v>
      </c>
      <c r="K1" t="s">
        <v>1541</v>
      </c>
      <c r="L1" t="s">
        <v>1542</v>
      </c>
      <c r="M1" t="s">
        <v>1543</v>
      </c>
      <c r="N1" t="s">
        <v>1050</v>
      </c>
      <c r="O1" t="s">
        <v>1544</v>
      </c>
      <c r="P1" t="s">
        <v>1545</v>
      </c>
      <c r="Q1" t="s">
        <v>1546</v>
      </c>
      <c r="R1" t="s">
        <v>1547</v>
      </c>
      <c r="S1" t="s">
        <v>232</v>
      </c>
      <c r="T1" t="s">
        <v>1548</v>
      </c>
      <c r="U1" t="s">
        <v>1549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/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I500"/>
  <sheetViews>
    <sheetView workbookViewId="0"/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7" ht="15">
      <c r="B2" s="1567" t="s">
        <v>1550</v>
      </c>
      <c r="D2" s="3" t="s">
        <v>1551</v>
      </c>
    </row>
    <row r="3" spans="2:7">
      <c r="B3" s="5"/>
    </row>
    <row r="6" spans="2:7">
      <c r="B6" s="1568" t="s">
        <v>1552</v>
      </c>
      <c r="C6" s="1568" t="s">
        <v>1553</v>
      </c>
      <c r="D6" s="1568" t="s">
        <v>849</v>
      </c>
      <c r="E6" s="6" t="s">
        <v>1554</v>
      </c>
      <c r="F6" s="6" t="s">
        <v>1555</v>
      </c>
      <c r="G6" s="1569" t="s">
        <v>1556</v>
      </c>
    </row>
    <row r="7" spans="2:7">
      <c r="B7" s="1570">
        <v>32629</v>
      </c>
      <c r="C7" s="1571">
        <v>2.5789999999999999E-5</v>
      </c>
      <c r="D7" s="1571">
        <v>3.4132578959999998E-4</v>
      </c>
      <c r="E7" s="1571">
        <v>0</v>
      </c>
      <c r="F7" s="1571">
        <v>1</v>
      </c>
    </row>
    <row r="8" spans="2:7">
      <c r="B8" s="1570">
        <v>32660</v>
      </c>
      <c r="C8" s="1571">
        <v>3.0859999999999999E-5</v>
      </c>
      <c r="D8" s="1571">
        <v>4.3911559890000003E-4</v>
      </c>
      <c r="E8" s="1571">
        <v>0</v>
      </c>
      <c r="F8" s="1571">
        <v>1</v>
      </c>
      <c r="G8" s="10"/>
    </row>
    <row r="9" spans="2:7">
      <c r="B9" s="1570">
        <v>32690</v>
      </c>
      <c r="C9" s="1571">
        <v>4.1940000000000002E-5</v>
      </c>
      <c r="D9" s="1571">
        <v>5.6092617030000002E-4</v>
      </c>
      <c r="E9" s="1571">
        <v>0</v>
      </c>
      <c r="F9" s="1571">
        <v>1</v>
      </c>
    </row>
    <row r="10" spans="2:7">
      <c r="B10" s="1570">
        <v>32721</v>
      </c>
      <c r="C10" s="1571">
        <v>5.7429999999999997E-5</v>
      </c>
      <c r="D10" s="1571">
        <v>7.5001448160000002E-4</v>
      </c>
      <c r="E10" s="1571">
        <v>0</v>
      </c>
      <c r="F10" s="1571">
        <v>1</v>
      </c>
    </row>
    <row r="11" spans="2:7">
      <c r="B11" s="1570">
        <v>32752</v>
      </c>
      <c r="C11" s="1571">
        <v>8.0350000000000001E-5</v>
      </c>
      <c r="D11" s="1571">
        <v>1.031719911E-3</v>
      </c>
      <c r="E11" s="1571">
        <v>0</v>
      </c>
      <c r="F11" s="1571">
        <v>1</v>
      </c>
    </row>
    <row r="12" spans="2:7">
      <c r="B12" s="1570">
        <v>32782</v>
      </c>
      <c r="C12" s="1571">
        <v>1.13E-4</v>
      </c>
      <c r="D12" s="1571">
        <v>1.4420348808E-3</v>
      </c>
      <c r="E12" s="1571">
        <v>0</v>
      </c>
      <c r="F12" s="1571">
        <v>1</v>
      </c>
    </row>
    <row r="13" spans="2:7">
      <c r="B13" s="1570">
        <v>32813</v>
      </c>
      <c r="C13" s="1571">
        <v>1.5873999999999999E-4</v>
      </c>
      <c r="D13" s="1571">
        <v>2.1316159802999999E-3</v>
      </c>
      <c r="E13" s="1571">
        <v>0</v>
      </c>
      <c r="F13" s="1571">
        <v>1</v>
      </c>
    </row>
    <row r="14" spans="2:7">
      <c r="B14" s="1570">
        <v>32843</v>
      </c>
      <c r="C14" s="1571">
        <v>2.3356000000000001E-4</v>
      </c>
      <c r="D14" s="1571">
        <v>3.2293981927000001E-3</v>
      </c>
      <c r="E14" s="1571">
        <v>0</v>
      </c>
      <c r="F14" s="1571">
        <v>1</v>
      </c>
    </row>
    <row r="15" spans="2:7">
      <c r="B15" s="1570">
        <v>32874</v>
      </c>
      <c r="C15" s="1571">
        <v>3.7711E-4</v>
      </c>
      <c r="D15" s="1571">
        <v>5.4108567453999999E-3</v>
      </c>
      <c r="E15" s="1571">
        <v>0</v>
      </c>
      <c r="F15" s="1571">
        <v>1</v>
      </c>
    </row>
    <row r="16" spans="2:7">
      <c r="B16" s="1570">
        <v>32905</v>
      </c>
      <c r="C16" s="1571">
        <v>6.8364999999999995E-4</v>
      </c>
      <c r="D16" s="1571">
        <v>9.5084984832999996E-3</v>
      </c>
      <c r="E16" s="1571">
        <v>0</v>
      </c>
      <c r="F16" s="1571">
        <v>1</v>
      </c>
    </row>
    <row r="17" spans="2:6">
      <c r="B17" s="1570">
        <v>32933</v>
      </c>
      <c r="C17" s="1571">
        <v>1.2575500000000001E-3</v>
      </c>
      <c r="D17" s="1571">
        <v>1.7342550351000002E-2</v>
      </c>
      <c r="E17" s="1571">
        <v>0</v>
      </c>
      <c r="F17" s="1571">
        <v>1</v>
      </c>
    </row>
    <row r="18" spans="2:6">
      <c r="B18" s="1570">
        <v>32964</v>
      </c>
      <c r="C18" s="1571">
        <v>1.61407E-3</v>
      </c>
      <c r="D18" s="1571">
        <v>2.00341140678E-2</v>
      </c>
      <c r="E18" s="1571">
        <v>0</v>
      </c>
      <c r="F18" s="1571">
        <v>1</v>
      </c>
    </row>
    <row r="19" spans="2:6">
      <c r="B19" s="1570">
        <v>32994</v>
      </c>
      <c r="C19" s="1571">
        <v>1.70973E-3</v>
      </c>
      <c r="D19" s="1571">
        <v>2.1554703244099999E-2</v>
      </c>
      <c r="E19" s="1571">
        <v>0</v>
      </c>
      <c r="F19" s="1571">
        <v>1</v>
      </c>
    </row>
    <row r="20" spans="2:6">
      <c r="B20" s="1570">
        <v>33025</v>
      </c>
      <c r="C20" s="1571">
        <v>1.87962E-3</v>
      </c>
      <c r="D20" s="1571">
        <v>2.4087380951899998E-2</v>
      </c>
      <c r="E20" s="1571">
        <v>0</v>
      </c>
      <c r="F20" s="1571">
        <v>1</v>
      </c>
    </row>
    <row r="21" spans="2:6">
      <c r="B21" s="1570">
        <v>33055</v>
      </c>
      <c r="C21" s="1571">
        <v>2.10539E-3</v>
      </c>
      <c r="D21" s="1571">
        <v>2.7199470492E-2</v>
      </c>
      <c r="E21" s="1571">
        <v>0</v>
      </c>
      <c r="F21" s="1571">
        <v>1</v>
      </c>
    </row>
    <row r="22" spans="2:6">
      <c r="B22" s="1570">
        <v>33086</v>
      </c>
      <c r="C22" s="1571">
        <v>2.39215E-3</v>
      </c>
      <c r="D22" s="1571">
        <v>3.0702762318699998E-2</v>
      </c>
      <c r="E22" s="1571">
        <v>0</v>
      </c>
      <c r="F22" s="1571">
        <v>1</v>
      </c>
    </row>
    <row r="23" spans="2:6">
      <c r="B23" s="1570">
        <v>33117</v>
      </c>
      <c r="C23" s="1571">
        <v>2.6984000000000001E-3</v>
      </c>
      <c r="D23" s="1571">
        <v>3.51270304097E-2</v>
      </c>
      <c r="E23" s="1571">
        <v>0</v>
      </c>
      <c r="F23" s="1571">
        <v>1</v>
      </c>
    </row>
    <row r="24" spans="2:6">
      <c r="B24" s="1570">
        <v>33147</v>
      </c>
      <c r="C24" s="1571">
        <v>3.0483699999999999E-3</v>
      </c>
      <c r="D24" s="1571">
        <v>4.0171272055300002E-2</v>
      </c>
      <c r="E24" s="1571">
        <v>0</v>
      </c>
      <c r="F24" s="1571">
        <v>1</v>
      </c>
    </row>
    <row r="25" spans="2:6">
      <c r="B25" s="1570">
        <v>33178</v>
      </c>
      <c r="C25" s="1571">
        <v>3.5622900000000001E-3</v>
      </c>
      <c r="D25" s="1571">
        <v>4.6924062784199999E-2</v>
      </c>
      <c r="E25" s="1571">
        <v>0</v>
      </c>
      <c r="F25" s="1571">
        <v>1</v>
      </c>
    </row>
    <row r="26" spans="2:6">
      <c r="B26" s="1570">
        <v>33208</v>
      </c>
      <c r="C26" s="1571">
        <v>4.2034799999999999E-3</v>
      </c>
      <c r="D26" s="1571">
        <v>5.5576860018600002E-2</v>
      </c>
      <c r="E26" s="1571">
        <v>0</v>
      </c>
      <c r="F26" s="1571">
        <v>1</v>
      </c>
    </row>
    <row r="27" spans="2:6">
      <c r="B27" s="1570">
        <v>33239</v>
      </c>
      <c r="C27" s="1571">
        <v>4.9475200000000004E-3</v>
      </c>
      <c r="D27" s="1571">
        <v>6.7109058472399993E-2</v>
      </c>
      <c r="E27" s="1571">
        <v>0</v>
      </c>
      <c r="F27" s="1571">
        <v>1</v>
      </c>
    </row>
    <row r="28" spans="2:6">
      <c r="B28" s="1570">
        <v>33270</v>
      </c>
      <c r="C28" s="1571">
        <v>5.9873900000000004E-3</v>
      </c>
      <c r="D28" s="1571">
        <v>8.1014388849100005E-2</v>
      </c>
      <c r="E28" s="1571">
        <v>0</v>
      </c>
      <c r="F28" s="1571">
        <v>1</v>
      </c>
    </row>
    <row r="29" spans="2:6">
      <c r="B29" s="1570">
        <v>33298</v>
      </c>
      <c r="C29" s="1571">
        <v>6.5374099999999996E-3</v>
      </c>
      <c r="D29" s="1571">
        <v>9.0673647120300002E-2</v>
      </c>
      <c r="E29" s="1571">
        <v>0</v>
      </c>
      <c r="F29" s="1571">
        <v>1</v>
      </c>
    </row>
    <row r="30" spans="2:6">
      <c r="B30" s="1570">
        <v>33329</v>
      </c>
      <c r="C30" s="1571">
        <v>7.0477600000000001E-3</v>
      </c>
      <c r="D30" s="1571">
        <v>9.5197603525800006E-2</v>
      </c>
      <c r="E30" s="1571">
        <v>0</v>
      </c>
      <c r="F30" s="1571">
        <v>1</v>
      </c>
    </row>
    <row r="31" spans="2:6">
      <c r="B31" s="1570">
        <v>33359</v>
      </c>
      <c r="C31" s="1571">
        <v>7.57502E-3</v>
      </c>
      <c r="D31" s="1571">
        <v>0.10227253780620001</v>
      </c>
      <c r="E31" s="1571">
        <v>0</v>
      </c>
      <c r="F31" s="1571">
        <v>1</v>
      </c>
    </row>
    <row r="32" spans="2:6">
      <c r="B32" s="1570">
        <v>33390</v>
      </c>
      <c r="C32" s="1571">
        <v>8.2174099999999996E-3</v>
      </c>
      <c r="D32" s="1571">
        <v>0.113715813284</v>
      </c>
      <c r="E32" s="1571">
        <v>0</v>
      </c>
      <c r="F32" s="1571">
        <v>1</v>
      </c>
    </row>
    <row r="33" spans="2:6">
      <c r="B33" s="1570">
        <v>33420</v>
      </c>
      <c r="C33" s="1571">
        <v>9.3037399999999996E-3</v>
      </c>
      <c r="D33" s="1571">
        <v>0.12782677804270001</v>
      </c>
      <c r="E33" s="1571">
        <v>0</v>
      </c>
      <c r="F33" s="1571">
        <v>1</v>
      </c>
    </row>
    <row r="34" spans="2:6">
      <c r="B34" s="1570">
        <v>33451</v>
      </c>
      <c r="C34" s="1571">
        <v>1.072268E-2</v>
      </c>
      <c r="D34" s="1571">
        <v>0.14780665921940001</v>
      </c>
      <c r="E34" s="1572">
        <v>0</v>
      </c>
      <c r="F34" s="1572">
        <v>1</v>
      </c>
    </row>
    <row r="35" spans="2:6">
      <c r="B35" s="1570">
        <v>33482</v>
      </c>
      <c r="C35" s="1571">
        <v>1.232337E-2</v>
      </c>
      <c r="D35" s="1571">
        <v>0.17090995992909999</v>
      </c>
      <c r="E35" s="1572">
        <v>0</v>
      </c>
      <c r="F35" s="1572">
        <v>1</v>
      </c>
    </row>
    <row r="36" spans="2:6">
      <c r="B36" s="1570">
        <v>33512</v>
      </c>
      <c r="C36" s="1571">
        <v>1.5112230000000001E-2</v>
      </c>
      <c r="D36" s="1571">
        <v>0.20548432454660001</v>
      </c>
      <c r="E36" s="1572">
        <v>0</v>
      </c>
      <c r="F36" s="1572">
        <v>1</v>
      </c>
    </row>
    <row r="37" spans="2:6">
      <c r="B37" s="1570">
        <v>33543</v>
      </c>
      <c r="C37" s="1571">
        <v>1.8984250000000001E-2</v>
      </c>
      <c r="D37" s="1571">
        <v>0.2572875157699</v>
      </c>
      <c r="E37" s="1572">
        <v>0</v>
      </c>
      <c r="F37" s="1572">
        <v>1</v>
      </c>
    </row>
    <row r="38" spans="2:6">
      <c r="B38" s="1570">
        <v>33573</v>
      </c>
      <c r="C38" s="1571">
        <v>2.347107E-2</v>
      </c>
      <c r="D38" s="1571">
        <v>0.31828867732630001</v>
      </c>
      <c r="E38" s="1572">
        <v>0</v>
      </c>
      <c r="F38" s="1572">
        <v>1</v>
      </c>
    </row>
    <row r="39" spans="2:6">
      <c r="B39" s="1570">
        <v>33604</v>
      </c>
      <c r="C39" s="1571">
        <v>2.9000140000000001E-2</v>
      </c>
      <c r="D39" s="1571">
        <v>0.40085366056990002</v>
      </c>
      <c r="E39" s="1572">
        <v>0</v>
      </c>
      <c r="F39" s="1572">
        <v>1</v>
      </c>
    </row>
    <row r="40" spans="2:6">
      <c r="B40" s="1570">
        <v>33635</v>
      </c>
      <c r="C40" s="1571">
        <v>3.7078809999999997E-2</v>
      </c>
      <c r="D40" s="1571">
        <v>0.49834103072840003</v>
      </c>
      <c r="E40" s="1572">
        <v>0</v>
      </c>
      <c r="F40" s="1572">
        <v>1</v>
      </c>
    </row>
    <row r="41" spans="2:6">
      <c r="B41" s="1570">
        <v>33664</v>
      </c>
      <c r="C41" s="1571">
        <v>4.501144E-2</v>
      </c>
      <c r="D41" s="1571">
        <v>0.60498746741809994</v>
      </c>
      <c r="E41" s="1572">
        <v>0</v>
      </c>
      <c r="F41" s="1572">
        <v>1</v>
      </c>
    </row>
    <row r="42" spans="2:6">
      <c r="B42" s="1570">
        <v>33695</v>
      </c>
      <c r="C42" s="1571">
        <v>5.3986060000000002E-2</v>
      </c>
      <c r="D42" s="1571">
        <v>0.72556146522830001</v>
      </c>
      <c r="E42" s="1572">
        <v>0</v>
      </c>
      <c r="F42" s="1572">
        <v>1</v>
      </c>
    </row>
    <row r="43" spans="2:6">
      <c r="B43" s="1570">
        <v>33725</v>
      </c>
      <c r="C43" s="1571">
        <v>6.5012799999999996E-2</v>
      </c>
      <c r="D43" s="1571">
        <v>0.90593616441860003</v>
      </c>
      <c r="E43" s="1572">
        <v>0</v>
      </c>
      <c r="F43" s="1572">
        <v>1</v>
      </c>
    </row>
    <row r="44" spans="2:6">
      <c r="B44" s="1570">
        <v>33756</v>
      </c>
      <c r="C44" s="1571">
        <v>8.0361459999999996E-2</v>
      </c>
      <c r="D44" s="1571">
        <v>1.0890285720637001</v>
      </c>
      <c r="E44" s="1572">
        <v>0</v>
      </c>
      <c r="F44" s="1572">
        <v>1</v>
      </c>
    </row>
    <row r="45" spans="2:6">
      <c r="B45" s="1570">
        <v>33786</v>
      </c>
      <c r="C45" s="1571">
        <v>9.7908469999999997E-2</v>
      </c>
      <c r="D45" s="1571">
        <v>1.3267641484791</v>
      </c>
      <c r="E45" s="1572">
        <v>0</v>
      </c>
      <c r="F45" s="1572">
        <v>1</v>
      </c>
    </row>
    <row r="46" spans="2:6">
      <c r="B46" s="1570">
        <v>33817</v>
      </c>
      <c r="C46" s="1571">
        <v>0.12202180999999999</v>
      </c>
      <c r="D46" s="1571">
        <v>1.6205100844213001</v>
      </c>
      <c r="E46" s="1572">
        <v>0</v>
      </c>
      <c r="F46" s="1572">
        <v>1</v>
      </c>
    </row>
    <row r="47" spans="2:6">
      <c r="B47" s="1570">
        <v>33848</v>
      </c>
      <c r="C47" s="1571">
        <v>0.15285811999999999</v>
      </c>
      <c r="D47" s="1571">
        <v>2.0196408623306001</v>
      </c>
      <c r="E47" s="1572">
        <v>0</v>
      </c>
      <c r="F47" s="1572">
        <v>1</v>
      </c>
    </row>
    <row r="48" spans="2:6">
      <c r="B48" s="1570">
        <v>33878</v>
      </c>
      <c r="C48" s="1571">
        <v>0.19376498</v>
      </c>
      <c r="D48" s="1571">
        <v>2.5293973801068002</v>
      </c>
      <c r="E48" s="1572">
        <v>0</v>
      </c>
      <c r="F48" s="1572">
        <v>1</v>
      </c>
    </row>
    <row r="49" spans="2:6">
      <c r="B49" s="1570">
        <v>33909</v>
      </c>
      <c r="C49" s="1571">
        <v>0.23916162999999999</v>
      </c>
      <c r="D49" s="1571">
        <v>3.0982598885127999</v>
      </c>
      <c r="E49" s="1572">
        <v>0</v>
      </c>
      <c r="F49" s="1572">
        <v>1</v>
      </c>
    </row>
    <row r="50" spans="2:6">
      <c r="B50" s="1570">
        <v>33939</v>
      </c>
      <c r="C50" s="1571">
        <v>0.29913278999999998</v>
      </c>
      <c r="D50" s="1571">
        <v>3.8802596550900001</v>
      </c>
      <c r="E50" s="1572">
        <v>0</v>
      </c>
      <c r="F50" s="1572">
        <v>1</v>
      </c>
    </row>
    <row r="51" spans="2:6">
      <c r="B51" s="1570">
        <v>33970</v>
      </c>
      <c r="C51" s="1571">
        <v>0.37638683000000001</v>
      </c>
      <c r="D51" s="1571">
        <v>5.0579166458253004</v>
      </c>
      <c r="E51" s="1572">
        <v>0</v>
      </c>
      <c r="F51" s="1572">
        <v>1</v>
      </c>
    </row>
    <row r="52" spans="2:6">
      <c r="B52" s="1570">
        <v>34001</v>
      </c>
      <c r="C52" s="1571">
        <v>0.48335073000000001</v>
      </c>
      <c r="D52" s="1571">
        <v>6.3213843084293</v>
      </c>
      <c r="E52" s="1572">
        <v>0</v>
      </c>
      <c r="F52" s="1572">
        <v>1</v>
      </c>
    </row>
    <row r="53" spans="2:6">
      <c r="B53" s="1570">
        <v>34029</v>
      </c>
      <c r="C53" s="1571">
        <v>0.61023090000000002</v>
      </c>
      <c r="D53" s="1571">
        <v>8.0445948724788998</v>
      </c>
      <c r="E53" s="1572">
        <v>0</v>
      </c>
      <c r="F53" s="1572">
        <v>1</v>
      </c>
    </row>
    <row r="54" spans="2:6">
      <c r="B54" s="1570">
        <v>34060</v>
      </c>
      <c r="C54" s="1571">
        <v>0.78617482000000005</v>
      </c>
      <c r="D54" s="1571">
        <v>10.2769672819025</v>
      </c>
      <c r="E54" s="1572">
        <v>0</v>
      </c>
      <c r="F54" s="1572">
        <v>1</v>
      </c>
    </row>
    <row r="55" spans="2:6">
      <c r="B55" s="1570">
        <v>34090</v>
      </c>
      <c r="C55" s="1571">
        <v>1.01968087</v>
      </c>
      <c r="D55" s="1571">
        <v>13.1226581300609</v>
      </c>
      <c r="E55" s="1572">
        <v>0</v>
      </c>
      <c r="F55" s="1572">
        <v>1</v>
      </c>
    </row>
    <row r="56" spans="2:6">
      <c r="B56" s="1570">
        <v>34121</v>
      </c>
      <c r="C56" s="1571">
        <v>1.3408208699999999</v>
      </c>
      <c r="D56" s="1571">
        <v>17.068642979808899</v>
      </c>
      <c r="E56" s="1572">
        <v>0</v>
      </c>
      <c r="F56" s="1572">
        <v>1</v>
      </c>
    </row>
    <row r="57" spans="2:6">
      <c r="B57" s="1570">
        <v>34151</v>
      </c>
      <c r="C57" s="1571">
        <v>1.75984608</v>
      </c>
      <c r="D57" s="1571">
        <v>22.312130761236201</v>
      </c>
      <c r="E57" s="1572">
        <v>0</v>
      </c>
      <c r="F57" s="1572">
        <v>1</v>
      </c>
    </row>
    <row r="58" spans="2:6">
      <c r="B58" s="1570">
        <v>34182</v>
      </c>
      <c r="C58" s="1571">
        <v>2.31923637</v>
      </c>
      <c r="D58" s="1571">
        <v>29.666210936414501</v>
      </c>
      <c r="E58" s="1572">
        <v>0</v>
      </c>
      <c r="F58" s="1572">
        <v>1</v>
      </c>
    </row>
    <row r="59" spans="2:6">
      <c r="B59" s="1570">
        <v>34213</v>
      </c>
      <c r="C59" s="1571">
        <v>3.1375231000000001</v>
      </c>
      <c r="D59" s="1571">
        <v>40.254080730946797</v>
      </c>
      <c r="E59" s="1572">
        <v>0</v>
      </c>
      <c r="F59" s="1572">
        <v>1</v>
      </c>
    </row>
    <row r="60" spans="2:6">
      <c r="B60" s="1570">
        <v>34243</v>
      </c>
      <c r="C60" s="1571">
        <v>4.2367972299999996</v>
      </c>
      <c r="D60" s="1571">
        <v>53.908264834853298</v>
      </c>
      <c r="E60" s="1572">
        <v>0</v>
      </c>
      <c r="F60" s="1572">
        <v>1</v>
      </c>
    </row>
    <row r="61" spans="2:6">
      <c r="B61" s="1570">
        <v>34274</v>
      </c>
      <c r="C61" s="1571">
        <v>5.7685216500000003</v>
      </c>
      <c r="D61" s="1571">
        <v>73.078046584524003</v>
      </c>
      <c r="E61" s="1572">
        <v>0</v>
      </c>
      <c r="F61" s="1572">
        <v>1</v>
      </c>
    </row>
    <row r="62" spans="2:6">
      <c r="B62" s="1570">
        <v>34304</v>
      </c>
      <c r="C62" s="1571">
        <v>7.9792505900000004</v>
      </c>
      <c r="D62" s="1571">
        <v>100</v>
      </c>
      <c r="E62" s="1572">
        <v>0</v>
      </c>
      <c r="F62" s="1572">
        <v>1</v>
      </c>
    </row>
    <row r="63" spans="2:6">
      <c r="B63" s="1570">
        <v>34335</v>
      </c>
      <c r="C63" s="1571">
        <v>11.0967647</v>
      </c>
      <c r="D63" s="1571">
        <v>141.31</v>
      </c>
      <c r="E63" s="1572">
        <v>0</v>
      </c>
      <c r="F63" s="1572">
        <v>1</v>
      </c>
    </row>
    <row r="64" spans="2:6">
      <c r="B64" s="1570">
        <v>34366</v>
      </c>
      <c r="C64" s="1571">
        <v>15.62186911</v>
      </c>
      <c r="D64" s="1571">
        <v>198.22</v>
      </c>
      <c r="E64" s="1572">
        <v>0</v>
      </c>
      <c r="F64" s="1572">
        <v>1</v>
      </c>
    </row>
    <row r="65" spans="2:6">
      <c r="B65" s="1570">
        <v>34394</v>
      </c>
      <c r="C65" s="1571">
        <v>22.762782099999999</v>
      </c>
      <c r="D65" s="1571">
        <v>282.95999999999998</v>
      </c>
      <c r="E65" s="1572">
        <v>0</v>
      </c>
      <c r="F65" s="1572">
        <v>1</v>
      </c>
    </row>
    <row r="66" spans="2:6">
      <c r="B66" s="1570">
        <v>34425</v>
      </c>
      <c r="C66" s="1571">
        <v>32.074938510000003</v>
      </c>
      <c r="D66" s="1571">
        <v>403.73</v>
      </c>
      <c r="E66" s="1572">
        <v>0</v>
      </c>
      <c r="F66" s="1572">
        <v>1</v>
      </c>
    </row>
    <row r="67" spans="2:6">
      <c r="B67" s="1570">
        <v>34455</v>
      </c>
      <c r="C67" s="1571">
        <v>45.731576959999998</v>
      </c>
      <c r="D67" s="1571">
        <v>581.49</v>
      </c>
      <c r="E67" s="1572">
        <v>0</v>
      </c>
      <c r="F67" s="1572">
        <v>1</v>
      </c>
    </row>
    <row r="68" spans="2:6">
      <c r="B68" s="1570">
        <v>34486</v>
      </c>
      <c r="C68" s="1571">
        <v>66.408212939999999</v>
      </c>
      <c r="D68" s="1571">
        <v>857.29</v>
      </c>
      <c r="E68" s="1572">
        <v>0</v>
      </c>
      <c r="F68" s="1572">
        <v>1</v>
      </c>
    </row>
    <row r="69" spans="2:6">
      <c r="B69" s="1570">
        <v>34516</v>
      </c>
      <c r="C69" s="1571">
        <v>92.968426030000003</v>
      </c>
      <c r="D69" s="1571">
        <v>915.93</v>
      </c>
      <c r="E69" s="1572">
        <v>0</v>
      </c>
      <c r="F69" s="1572">
        <v>1</v>
      </c>
    </row>
    <row r="70" spans="2:6">
      <c r="B70" s="1570">
        <v>34547</v>
      </c>
      <c r="C70" s="1571">
        <v>100</v>
      </c>
      <c r="D70" s="1571">
        <v>932.97</v>
      </c>
      <c r="E70" s="1572">
        <v>1.0417031360600404</v>
      </c>
      <c r="F70" s="1572">
        <v>1.0417031360600404</v>
      </c>
    </row>
    <row r="71" spans="2:6">
      <c r="B71" s="1570">
        <v>34578</v>
      </c>
      <c r="C71" s="1571">
        <v>101.751</v>
      </c>
      <c r="D71" s="1571">
        <v>947.24</v>
      </c>
      <c r="E71" s="1572">
        <v>1.040191380612066</v>
      </c>
      <c r="F71" s="1572">
        <v>1.0835706232862121</v>
      </c>
    </row>
    <row r="72" spans="2:6">
      <c r="B72" s="1570">
        <v>34608</v>
      </c>
      <c r="C72" s="1571">
        <v>103.602</v>
      </c>
      <c r="D72" s="1571">
        <v>972.06</v>
      </c>
      <c r="E72" s="1572">
        <v>1.0400235119965635</v>
      </c>
      <c r="F72" s="1572">
        <v>1.1269389251264317</v>
      </c>
    </row>
    <row r="73" spans="2:6">
      <c r="B73" s="1570">
        <v>34639</v>
      </c>
      <c r="C73" s="1571">
        <v>106.553</v>
      </c>
      <c r="D73" s="1571">
        <v>999.37</v>
      </c>
      <c r="E73" s="1572">
        <v>1.0448704061969656</v>
      </c>
      <c r="F73" s="1572">
        <v>1.1775051324560264</v>
      </c>
    </row>
    <row r="74" spans="2:6">
      <c r="B74" s="1570">
        <v>34669</v>
      </c>
      <c r="C74" s="1571">
        <v>107.45</v>
      </c>
      <c r="D74" s="1571">
        <v>1016.46</v>
      </c>
      <c r="E74" s="1572">
        <v>1.0379749903132509</v>
      </c>
      <c r="F74" s="1572">
        <v>1.2222208784548472</v>
      </c>
    </row>
    <row r="75" spans="2:6">
      <c r="B75" s="1570">
        <v>34700</v>
      </c>
      <c r="C75" s="1571">
        <v>108.44199999999999</v>
      </c>
      <c r="D75" s="1571">
        <v>1033.74</v>
      </c>
      <c r="E75" s="1572">
        <v>1.033745155557255</v>
      </c>
      <c r="F75" s="1572">
        <v>1.2634649121236308</v>
      </c>
    </row>
    <row r="76" spans="2:6">
      <c r="B76" s="1570">
        <v>34731</v>
      </c>
      <c r="C76" s="1571">
        <v>109.9455</v>
      </c>
      <c r="D76" s="1571">
        <v>1044.28</v>
      </c>
      <c r="E76" s="1572">
        <v>1.0361946548110796</v>
      </c>
      <c r="F76" s="1572">
        <v>1.3091955884838566</v>
      </c>
    </row>
    <row r="77" spans="2:6">
      <c r="B77" s="1570">
        <v>34759</v>
      </c>
      <c r="C77" s="1571">
        <v>111.178</v>
      </c>
      <c r="D77" s="1571">
        <v>1060.47</v>
      </c>
      <c r="E77" s="1572">
        <v>1.0426211014987152</v>
      </c>
      <c r="F77" s="1572">
        <v>1.3649949465422972</v>
      </c>
    </row>
    <row r="78" spans="2:6">
      <c r="B78" s="1570">
        <v>34790</v>
      </c>
      <c r="C78" s="1571">
        <v>113.518</v>
      </c>
      <c r="D78" s="1571">
        <v>1086.24</v>
      </c>
      <c r="E78" s="1572">
        <v>1.0502446731743562</v>
      </c>
      <c r="F78" s="1572">
        <v>1.4335786715159629</v>
      </c>
    </row>
    <row r="79" spans="2:6">
      <c r="B79" s="1570">
        <v>34820</v>
      </c>
      <c r="C79" s="1571">
        <v>114.17100000000001</v>
      </c>
      <c r="D79" s="1571">
        <v>1115.24</v>
      </c>
      <c r="E79" s="1572">
        <v>1.0450356278102417</v>
      </c>
      <c r="F79" s="1572">
        <v>1.4981407870030565</v>
      </c>
    </row>
    <row r="80" spans="2:6">
      <c r="B80" s="1570">
        <v>34851</v>
      </c>
      <c r="C80" s="1571">
        <v>116.98399999999999</v>
      </c>
      <c r="D80" s="1571">
        <v>1140.44</v>
      </c>
      <c r="E80" s="1572">
        <v>1.0423602226147934</v>
      </c>
      <c r="F80" s="1572">
        <v>1.5616023642488079</v>
      </c>
    </row>
    <row r="81" spans="2:7">
      <c r="B81" s="1570">
        <v>34881</v>
      </c>
      <c r="C81" s="1571">
        <v>119.114</v>
      </c>
      <c r="D81" s="1571">
        <v>1167.3499999999999</v>
      </c>
      <c r="E81" s="1572">
        <v>1.0402311780170954</v>
      </c>
      <c r="F81" s="1572">
        <v>1.6244274669568188</v>
      </c>
    </row>
    <row r="82" spans="2:7">
      <c r="B82" s="1570">
        <v>34912</v>
      </c>
      <c r="C82" s="1571">
        <v>121.729</v>
      </c>
      <c r="D82" s="1571">
        <v>1178.9100000000001</v>
      </c>
      <c r="E82" s="1571">
        <v>1.0383979241220025</v>
      </c>
      <c r="F82" s="1571">
        <v>1.6868021095747234</v>
      </c>
      <c r="G82" s="7">
        <v>41036.512291666666</v>
      </c>
    </row>
    <row r="83" spans="2:7">
      <c r="B83" s="1570">
        <v>34943</v>
      </c>
      <c r="C83" s="1571">
        <v>120.869</v>
      </c>
      <c r="D83" s="1571">
        <v>1190.58</v>
      </c>
      <c r="E83" s="1571">
        <v>1.0349384575781275</v>
      </c>
      <c r="F83" s="1571">
        <v>1.745736373522796</v>
      </c>
    </row>
    <row r="84" spans="2:7">
      <c r="B84" s="1570">
        <v>34973</v>
      </c>
      <c r="C84" s="1571">
        <v>121.503</v>
      </c>
      <c r="D84" s="1571">
        <v>1207.3699999999999</v>
      </c>
      <c r="E84" s="1571">
        <v>1.0324041438440343</v>
      </c>
      <c r="F84" s="1571">
        <v>1.8023054660841915</v>
      </c>
    </row>
    <row r="85" spans="2:7">
      <c r="B85" s="1570">
        <v>35004</v>
      </c>
      <c r="C85" s="1571">
        <v>122.955</v>
      </c>
      <c r="D85" s="1571">
        <v>1225.1199999999999</v>
      </c>
      <c r="E85" s="1571">
        <v>1.0316999077357936</v>
      </c>
      <c r="F85" s="1571">
        <v>1.8594383830707768</v>
      </c>
    </row>
    <row r="86" spans="2:7">
      <c r="B86" s="1570">
        <v>35034</v>
      </c>
      <c r="C86" s="1571">
        <v>123.833</v>
      </c>
      <c r="D86" s="1571">
        <v>1244.23</v>
      </c>
      <c r="E86" s="1571">
        <v>1.0292086837764389</v>
      </c>
      <c r="F86" s="1571">
        <v>1.913750130803664</v>
      </c>
    </row>
    <row r="87" spans="2:7">
      <c r="B87" s="1570">
        <v>35065</v>
      </c>
      <c r="C87" s="1571">
        <v>125.977</v>
      </c>
      <c r="D87" s="1571">
        <v>1260.9000000000001</v>
      </c>
      <c r="E87" s="1571">
        <v>1.0271429062533448</v>
      </c>
      <c r="F87" s="1571">
        <v>1.9656948711963942</v>
      </c>
    </row>
    <row r="88" spans="2:7">
      <c r="B88" s="1570">
        <v>35096</v>
      </c>
      <c r="C88" s="1571">
        <v>127.202</v>
      </c>
      <c r="D88" s="1571">
        <v>1273.8900000000001</v>
      </c>
      <c r="E88" s="1571">
        <v>1.026088709032714</v>
      </c>
      <c r="F88" s="1571">
        <v>2.0169773127381352</v>
      </c>
    </row>
    <row r="89" spans="2:7">
      <c r="B89" s="1570">
        <v>35125</v>
      </c>
      <c r="C89" s="1571">
        <v>127.715</v>
      </c>
      <c r="D89" s="1571">
        <v>1278.3499999999999</v>
      </c>
      <c r="E89" s="1571">
        <v>1.0222082178682002</v>
      </c>
      <c r="F89" s="1571">
        <v>2.0617707843346404</v>
      </c>
    </row>
    <row r="90" spans="2:7">
      <c r="B90" s="1570">
        <v>35156</v>
      </c>
      <c r="C90" s="1571">
        <v>128.13</v>
      </c>
      <c r="D90" s="1571">
        <v>1294.46</v>
      </c>
      <c r="E90" s="1571">
        <v>1.0227569082086725</v>
      </c>
      <c r="F90" s="1571">
        <v>2.1086903128210666</v>
      </c>
    </row>
    <row r="91" spans="2:7">
      <c r="B91" s="1570">
        <v>35186</v>
      </c>
      <c r="C91" s="1571">
        <v>130.12100000000001</v>
      </c>
      <c r="D91" s="1571">
        <v>1310.25</v>
      </c>
      <c r="E91" s="1571">
        <v>1.0210626514511167</v>
      </c>
      <c r="F91" s="1571">
        <v>2.1531049218983629</v>
      </c>
    </row>
    <row r="92" spans="2:7">
      <c r="B92" s="1570">
        <v>35217</v>
      </c>
      <c r="C92" s="1571">
        <v>131.44499999999999</v>
      </c>
      <c r="D92" s="1571">
        <v>1325.84</v>
      </c>
      <c r="E92" s="1571">
        <v>1.020826552130859</v>
      </c>
      <c r="F92" s="1571">
        <v>2.1979466737974884</v>
      </c>
    </row>
    <row r="93" spans="2:7">
      <c r="B93" s="1570">
        <v>35247</v>
      </c>
      <c r="C93" s="1571">
        <v>133.21299999999999</v>
      </c>
      <c r="D93" s="1571">
        <v>1340.56</v>
      </c>
      <c r="E93" s="1571">
        <v>1.0192856968560815</v>
      </c>
      <c r="F93" s="1571">
        <v>2.2403356070541793</v>
      </c>
    </row>
    <row r="94" spans="2:7">
      <c r="B94" s="1570">
        <v>35278</v>
      </c>
      <c r="C94" s="1571">
        <v>133.58699999999999</v>
      </c>
      <c r="D94" s="1571">
        <v>1346.46</v>
      </c>
      <c r="E94" s="1571">
        <v>1.0196791435025818</v>
      </c>
      <c r="F94" s="1571">
        <v>2.2844234929593421</v>
      </c>
    </row>
    <row r="95" spans="2:7">
      <c r="B95" s="1570">
        <v>35309</v>
      </c>
      <c r="C95" s="1571">
        <v>133.72200000000001</v>
      </c>
      <c r="D95" s="1571">
        <v>1348.48</v>
      </c>
      <c r="E95" s="1571">
        <v>1.0190405257020327</v>
      </c>
      <c r="F95" s="1571">
        <v>2.3279201171913617</v>
      </c>
    </row>
    <row r="96" spans="2:7">
      <c r="B96" s="1570">
        <v>35339</v>
      </c>
      <c r="C96" s="1571">
        <v>133.97800000000001</v>
      </c>
      <c r="D96" s="1571">
        <v>1352.53</v>
      </c>
      <c r="E96" s="1571">
        <v>1.0194350405573067</v>
      </c>
      <c r="F96" s="1571">
        <v>2.3731633390831459</v>
      </c>
    </row>
    <row r="97" spans="2:6">
      <c r="B97" s="1570">
        <v>35370</v>
      </c>
      <c r="C97" s="1571">
        <v>134.24199999999999</v>
      </c>
      <c r="D97" s="1571">
        <v>1356.86</v>
      </c>
      <c r="E97" s="1571">
        <v>1.018952291397875</v>
      </c>
      <c r="F97" s="1571">
        <v>2.4181402222202037</v>
      </c>
    </row>
    <row r="98" spans="2:6">
      <c r="B98" s="1570">
        <v>35400</v>
      </c>
      <c r="C98" s="1571">
        <v>135.22499999999999</v>
      </c>
      <c r="D98" s="1571">
        <v>1363.24</v>
      </c>
      <c r="E98" s="1571">
        <v>1.0189221360623306</v>
      </c>
      <c r="F98" s="1571">
        <v>2.4638966005228489</v>
      </c>
    </row>
    <row r="99" spans="2:6">
      <c r="B99" s="1570">
        <v>35431</v>
      </c>
      <c r="C99" s="1571">
        <v>137.613</v>
      </c>
      <c r="D99" s="1571">
        <v>1379.33</v>
      </c>
      <c r="E99" s="1571">
        <v>1.0182168360386268</v>
      </c>
      <c r="F99" s="1571">
        <v>2.5087810009107034</v>
      </c>
    </row>
    <row r="100" spans="2:6">
      <c r="B100" s="1570">
        <v>35462</v>
      </c>
      <c r="C100" s="1571">
        <v>138.20400000000001</v>
      </c>
      <c r="D100" s="1571">
        <v>1386.23</v>
      </c>
      <c r="E100" s="1571">
        <v>1.018615977536991</v>
      </c>
      <c r="F100" s="1571">
        <v>2.5554844116688868</v>
      </c>
    </row>
    <row r="101" spans="2:6">
      <c r="B101" s="1570">
        <v>35490</v>
      </c>
      <c r="C101" s="1571">
        <v>139.79499999999999</v>
      </c>
      <c r="D101" s="1571">
        <v>1393.3</v>
      </c>
      <c r="E101" s="1571">
        <v>1.0181653196053577</v>
      </c>
      <c r="F101" s="1571">
        <v>2.6019056027533618</v>
      </c>
    </row>
    <row r="102" spans="2:6">
      <c r="B102" s="1570">
        <v>35521</v>
      </c>
      <c r="C102" s="1571">
        <v>140.74199999999999</v>
      </c>
      <c r="D102" s="1571">
        <v>1405.56</v>
      </c>
      <c r="E102" s="1571">
        <v>1.0174130782041242</v>
      </c>
      <c r="F102" s="1571">
        <v>2.6472127884938548</v>
      </c>
    </row>
    <row r="103" spans="2:6">
      <c r="B103" s="1570">
        <v>35551</v>
      </c>
      <c r="C103" s="1571">
        <v>141.04</v>
      </c>
      <c r="D103" s="1571">
        <v>1411.32</v>
      </c>
      <c r="E103" s="1571">
        <v>1.0173859708262292</v>
      </c>
      <c r="F103" s="1571">
        <v>2.6932371528054295</v>
      </c>
    </row>
    <row r="104" spans="2:6">
      <c r="B104" s="1570">
        <v>35582</v>
      </c>
      <c r="C104" s="1571">
        <v>142.09</v>
      </c>
      <c r="D104" s="1571">
        <v>1418.94</v>
      </c>
      <c r="E104" s="1571">
        <v>1.0160683269749473</v>
      </c>
      <c r="F104" s="1571">
        <v>2.7365129679977831</v>
      </c>
    </row>
    <row r="105" spans="2:6">
      <c r="B105" s="1570">
        <v>35612</v>
      </c>
      <c r="C105" s="1571">
        <v>142.221</v>
      </c>
      <c r="D105" s="1571">
        <v>1422.06</v>
      </c>
      <c r="E105" s="1571">
        <v>1.0160384417373229</v>
      </c>
      <c r="F105" s="1571">
        <v>2.7804023717984441</v>
      </c>
    </row>
    <row r="106" spans="2:6">
      <c r="B106" s="1570">
        <v>35643</v>
      </c>
      <c r="C106" s="1571">
        <v>142.35300000000001</v>
      </c>
      <c r="D106" s="1571">
        <v>1421.78</v>
      </c>
      <c r="E106" s="1571">
        <v>1.0158585469231169</v>
      </c>
      <c r="F106" s="1571">
        <v>2.8244955132767555</v>
      </c>
    </row>
    <row r="107" spans="2:6">
      <c r="B107" s="1570">
        <v>35674</v>
      </c>
      <c r="C107" s="1571">
        <v>143.042</v>
      </c>
      <c r="D107" s="1571">
        <v>1422.63</v>
      </c>
      <c r="E107" s="1571">
        <v>1.0159028051900765</v>
      </c>
      <c r="F107" s="1571">
        <v>2.869412915184641</v>
      </c>
    </row>
    <row r="108" spans="2:6">
      <c r="B108" s="1570">
        <v>35704</v>
      </c>
      <c r="C108" s="1571">
        <v>143.56700000000001</v>
      </c>
      <c r="D108" s="1571">
        <v>1425.9</v>
      </c>
      <c r="E108" s="1571">
        <v>1.0167288802763557</v>
      </c>
      <c r="F108" s="1571">
        <v>2.9174149803061935</v>
      </c>
    </row>
    <row r="109" spans="2:6">
      <c r="B109" s="1570">
        <v>35735</v>
      </c>
      <c r="C109" s="1571">
        <v>144.48099999999999</v>
      </c>
      <c r="D109" s="1571">
        <v>1428.32</v>
      </c>
      <c r="E109" s="1571">
        <v>1.0304347964479648</v>
      </c>
      <c r="F109" s="1571">
        <v>3.0062059113860555</v>
      </c>
    </row>
    <row r="110" spans="2:6">
      <c r="B110" s="1570">
        <v>35765</v>
      </c>
      <c r="C110" s="1571">
        <v>145.69499999999999</v>
      </c>
      <c r="D110" s="1571">
        <v>1434.46</v>
      </c>
      <c r="E110" s="1571">
        <v>1.0311549813439238</v>
      </c>
      <c r="F110" s="1571">
        <v>3.0998642004712815</v>
      </c>
    </row>
    <row r="111" spans="2:6">
      <c r="B111" s="1570">
        <v>35796</v>
      </c>
      <c r="C111" s="1571">
        <v>147.09100000000001</v>
      </c>
      <c r="D111" s="1571">
        <v>1444.64</v>
      </c>
      <c r="E111" s="1571">
        <v>1.0280960413836384</v>
      </c>
      <c r="F111" s="1571">
        <v>3.1869581133313818</v>
      </c>
    </row>
    <row r="112" spans="2:6">
      <c r="B112" s="1570">
        <v>35827</v>
      </c>
      <c r="C112" s="1571">
        <v>147.35599999999999</v>
      </c>
      <c r="D112" s="1571">
        <v>1451.29</v>
      </c>
      <c r="E112" s="1571">
        <v>1.0236711069024262</v>
      </c>
      <c r="F112" s="1571">
        <v>3.2623969395256034</v>
      </c>
    </row>
    <row r="113" spans="2:6">
      <c r="B113" s="1570">
        <v>35855</v>
      </c>
      <c r="C113" s="1571">
        <v>147.63499999999999</v>
      </c>
      <c r="D113" s="1571">
        <v>1456.22</v>
      </c>
      <c r="E113" s="1571">
        <v>1.0220072916308196</v>
      </c>
      <c r="F113" s="1571">
        <v>3.3341934603892365</v>
      </c>
    </row>
    <row r="114" spans="2:6">
      <c r="B114" s="1570">
        <v>35886</v>
      </c>
      <c r="C114" s="1571">
        <v>147.821</v>
      </c>
      <c r="D114" s="1571">
        <v>1459.71</v>
      </c>
      <c r="E114" s="1571">
        <v>1.0199031041694671</v>
      </c>
      <c r="F114" s="1571">
        <v>3.4005542601525192</v>
      </c>
    </row>
    <row r="115" spans="2:6">
      <c r="B115" s="1570">
        <v>35916</v>
      </c>
      <c r="C115" s="1571">
        <v>148.02099999999999</v>
      </c>
      <c r="D115" s="1571">
        <v>1467.01</v>
      </c>
      <c r="E115" s="1571">
        <v>1.0171306475499944</v>
      </c>
      <c r="F115" s="1571">
        <v>3.4588079566578238</v>
      </c>
    </row>
    <row r="116" spans="2:6">
      <c r="B116" s="1570">
        <v>35947</v>
      </c>
      <c r="C116" s="1571">
        <v>148.58799999999999</v>
      </c>
      <c r="D116" s="1571">
        <v>1467.3</v>
      </c>
      <c r="E116" s="1571">
        <v>1.0167959651913006</v>
      </c>
      <c r="F116" s="1571">
        <v>3.5169019747012422</v>
      </c>
    </row>
    <row r="117" spans="2:6">
      <c r="B117" s="1570">
        <v>35977</v>
      </c>
      <c r="C117" s="1571">
        <v>148.339</v>
      </c>
      <c r="D117" s="1571">
        <v>1465.54</v>
      </c>
      <c r="E117" s="1571">
        <v>1.0170373206405035</v>
      </c>
      <c r="F117" s="1571">
        <v>3.5768205613054471</v>
      </c>
    </row>
    <row r="118" spans="2:6">
      <c r="B118" s="1570">
        <v>36008</v>
      </c>
      <c r="C118" s="1571">
        <v>148.10900000000001</v>
      </c>
      <c r="D118" s="1571">
        <v>1458.07</v>
      </c>
      <c r="E118" s="1571">
        <v>1.0147631694962493</v>
      </c>
      <c r="F118" s="1571">
        <v>3.6296257695096692</v>
      </c>
    </row>
    <row r="119" spans="2:6">
      <c r="B119" s="1570">
        <v>36039</v>
      </c>
      <c r="C119" s="1571">
        <v>147.98400000000001</v>
      </c>
      <c r="D119" s="1571">
        <v>1454.86</v>
      </c>
      <c r="E119" s="1571">
        <v>1.0255896332244516</v>
      </c>
      <c r="F119" s="1571">
        <v>3.7225065616934394</v>
      </c>
    </row>
    <row r="120" spans="2:6">
      <c r="B120" s="1570">
        <v>36069</v>
      </c>
      <c r="C120" s="1571">
        <v>148.1</v>
      </c>
      <c r="D120" s="1571">
        <v>1455.15</v>
      </c>
      <c r="E120" s="1571">
        <v>1.0308188720930029</v>
      </c>
      <c r="F120" s="1571">
        <v>3.8372300152836338</v>
      </c>
    </row>
    <row r="121" spans="2:6">
      <c r="B121" s="1570">
        <v>36100</v>
      </c>
      <c r="C121" s="1571">
        <v>147.62799999999999</v>
      </c>
      <c r="D121" s="1571">
        <v>1453.4</v>
      </c>
      <c r="E121" s="1571">
        <v>1.0277678356785036</v>
      </c>
      <c r="F121" s="1571">
        <v>3.9437815878086515</v>
      </c>
    </row>
    <row r="122" spans="2:6">
      <c r="B122" s="1570">
        <v>36130</v>
      </c>
      <c r="C122" s="1571">
        <v>148.291</v>
      </c>
      <c r="D122" s="1571">
        <v>1458.2</v>
      </c>
      <c r="E122" s="1571">
        <v>1.025049538167373</v>
      </c>
      <c r="F122" s="1571">
        <v>4.0425714952162473</v>
      </c>
    </row>
    <row r="123" spans="2:6">
      <c r="B123" s="1570">
        <v>36161</v>
      </c>
      <c r="C123" s="1571">
        <v>149.53299999999999</v>
      </c>
      <c r="D123" s="1571">
        <v>1468.41</v>
      </c>
      <c r="E123" s="1571">
        <v>1.022811290449001</v>
      </c>
      <c r="F123" s="1571">
        <v>4.1347877677544771</v>
      </c>
    </row>
    <row r="124" spans="2:6">
      <c r="B124" s="1570">
        <v>36192</v>
      </c>
      <c r="C124" s="1571">
        <v>154.93299999999999</v>
      </c>
      <c r="D124" s="1571">
        <v>1483.83</v>
      </c>
      <c r="E124" s="1571">
        <v>1.0264662861429437</v>
      </c>
      <c r="F124" s="1571">
        <v>4.2442202439562102</v>
      </c>
    </row>
    <row r="125" spans="2:6">
      <c r="B125" s="1570">
        <v>36220</v>
      </c>
      <c r="C125" s="1571">
        <v>159.32499999999999</v>
      </c>
      <c r="D125" s="1571">
        <v>1500.15</v>
      </c>
      <c r="E125" s="1571">
        <v>1.033345195070198</v>
      </c>
      <c r="F125" s="1571">
        <v>4.3857445959118131</v>
      </c>
    </row>
    <row r="126" spans="2:6">
      <c r="B126" s="1570">
        <v>36251</v>
      </c>
      <c r="C126" s="1571">
        <v>160.459</v>
      </c>
      <c r="D126" s="1571">
        <v>1508.55</v>
      </c>
      <c r="E126" s="1571">
        <v>1.027563660965396</v>
      </c>
      <c r="F126" s="1571">
        <v>4.5066317730343437</v>
      </c>
    </row>
    <row r="127" spans="2:6">
      <c r="B127" s="1570">
        <v>36281</v>
      </c>
      <c r="C127" s="1571">
        <v>159.99600000000001</v>
      </c>
      <c r="D127" s="1571">
        <v>1513.08</v>
      </c>
      <c r="E127" s="1571">
        <v>1.0201883000304468</v>
      </c>
      <c r="F127" s="1571">
        <v>4.5976130073951058</v>
      </c>
    </row>
    <row r="128" spans="2:6">
      <c r="B128" s="1570">
        <v>36312</v>
      </c>
      <c r="C128" s="1571">
        <v>160.57300000000001</v>
      </c>
      <c r="D128" s="1571">
        <v>1515.95</v>
      </c>
      <c r="E128" s="1571">
        <v>1.0175637707499077</v>
      </c>
      <c r="F128" s="1571">
        <v>4.6783644282537873</v>
      </c>
    </row>
    <row r="129" spans="2:6">
      <c r="B129" s="1570">
        <v>36342</v>
      </c>
      <c r="C129" s="1571">
        <v>163.06</v>
      </c>
      <c r="D129" s="1571">
        <v>1532.47</v>
      </c>
      <c r="E129" s="1571">
        <v>1.0165876375704719</v>
      </c>
      <c r="F129" s="1571">
        <v>4.7559674418122491</v>
      </c>
    </row>
    <row r="130" spans="2:6">
      <c r="B130" s="1570">
        <v>36373</v>
      </c>
      <c r="C130" s="1571">
        <v>165.60300000000001</v>
      </c>
      <c r="D130" s="1571">
        <v>1541.05</v>
      </c>
      <c r="E130" s="1571">
        <v>1.0156847483880824</v>
      </c>
      <c r="F130" s="1571">
        <v>4.8305635944789866</v>
      </c>
    </row>
    <row r="131" spans="2:6">
      <c r="B131" s="1570">
        <v>36404</v>
      </c>
      <c r="C131" s="1571">
        <v>167.99700000000001</v>
      </c>
      <c r="D131" s="1571">
        <v>1545.83</v>
      </c>
      <c r="E131" s="1571">
        <v>1.0155901672784533</v>
      </c>
      <c r="F131" s="1571">
        <v>4.9058728889661207</v>
      </c>
    </row>
    <row r="132" spans="2:6">
      <c r="B132" s="1570">
        <v>36434</v>
      </c>
      <c r="C132" s="1571">
        <v>170.86099999999999</v>
      </c>
      <c r="D132" s="1571">
        <v>1564.23</v>
      </c>
      <c r="E132" s="1571">
        <v>1.0145370189540868</v>
      </c>
      <c r="F132" s="1571">
        <v>4.9771896561393616</v>
      </c>
    </row>
    <row r="133" spans="2:6">
      <c r="B133" s="1570">
        <v>36465</v>
      </c>
      <c r="C133" s="1571">
        <v>174.93899999999999</v>
      </c>
      <c r="D133" s="1571">
        <v>1579.09</v>
      </c>
      <c r="E133" s="1571">
        <v>1.0152599173733607</v>
      </c>
      <c r="F133" s="1571">
        <v>5.0531411590435944</v>
      </c>
    </row>
    <row r="134" spans="2:6">
      <c r="B134" s="1570">
        <v>36495</v>
      </c>
      <c r="C134" s="1571">
        <v>178.09899999999999</v>
      </c>
      <c r="D134" s="1571">
        <v>1588.56</v>
      </c>
      <c r="E134" s="1571">
        <v>1.0159962861507461</v>
      </c>
      <c r="F134" s="1571">
        <v>5.1339726509837682</v>
      </c>
    </row>
    <row r="135" spans="2:6">
      <c r="B135" s="1570">
        <v>36526</v>
      </c>
      <c r="C135" s="1571">
        <v>180.30099999999999</v>
      </c>
      <c r="D135" s="1571">
        <v>1598.41</v>
      </c>
      <c r="E135" s="1571">
        <v>1.0145573263269665</v>
      </c>
      <c r="F135" s="1571">
        <v>5.20870956621786</v>
      </c>
    </row>
    <row r="136" spans="2:6">
      <c r="B136" s="1570">
        <v>36557</v>
      </c>
      <c r="C136" s="1571">
        <v>180.935</v>
      </c>
      <c r="D136" s="1571">
        <v>1600.49</v>
      </c>
      <c r="E136" s="1571">
        <v>1.0145089461247463</v>
      </c>
      <c r="F136" s="1571">
        <v>5.2842824526935654</v>
      </c>
    </row>
    <row r="137" spans="2:6">
      <c r="B137" s="1570">
        <v>36586</v>
      </c>
      <c r="C137" s="1571">
        <v>181.214</v>
      </c>
      <c r="D137" s="1571">
        <v>1604.01</v>
      </c>
      <c r="E137" s="1571">
        <v>1.0158860407835757</v>
      </c>
      <c r="F137" s="1571">
        <v>5.3682287792489891</v>
      </c>
    </row>
    <row r="138" spans="2:6">
      <c r="B138" s="1570">
        <v>36617</v>
      </c>
      <c r="C138" s="1571">
        <v>181.63499999999999</v>
      </c>
      <c r="D138" s="1571">
        <v>1610.75</v>
      </c>
      <c r="E138" s="1571">
        <v>1.0136441914221253</v>
      </c>
      <c r="F138" s="1571">
        <v>5.4414739203108242</v>
      </c>
    </row>
    <row r="139" spans="2:6">
      <c r="B139" s="1570">
        <v>36647</v>
      </c>
      <c r="C139" s="1571">
        <v>182.18899999999999</v>
      </c>
      <c r="D139" s="1571">
        <v>1610.91</v>
      </c>
      <c r="E139" s="1571">
        <v>1.0156265899953318</v>
      </c>
      <c r="F139" s="1571">
        <v>5.5265056022338124</v>
      </c>
    </row>
    <row r="140" spans="2:6">
      <c r="B140" s="1570">
        <v>36678</v>
      </c>
      <c r="C140" s="1571">
        <v>183.745</v>
      </c>
      <c r="D140" s="1571">
        <v>1614.62</v>
      </c>
      <c r="E140" s="1571">
        <v>1.0145668910909638</v>
      </c>
      <c r="F140" s="1571">
        <v>5.6070096074551534</v>
      </c>
    </row>
    <row r="141" spans="2:6">
      <c r="B141" s="1570">
        <v>36708</v>
      </c>
      <c r="C141" s="1571">
        <v>186.63399999999999</v>
      </c>
      <c r="D141" s="1571">
        <v>1640.62</v>
      </c>
      <c r="E141" s="1571">
        <v>1.0130599958288005</v>
      </c>
      <c r="F141" s="1571">
        <v>5.6802371295405623</v>
      </c>
    </row>
    <row r="142" spans="2:6">
      <c r="B142" s="1570">
        <v>36739</v>
      </c>
      <c r="C142" s="1571">
        <v>191.08699999999999</v>
      </c>
      <c r="D142" s="1571">
        <v>1662.11</v>
      </c>
      <c r="E142" s="1571">
        <v>1.0140543715890855</v>
      </c>
      <c r="F142" s="1571">
        <v>5.7600692928732462</v>
      </c>
    </row>
    <row r="143" spans="2:6">
      <c r="B143" s="1570">
        <v>36770</v>
      </c>
      <c r="C143" s="1571">
        <v>193.297</v>
      </c>
      <c r="D143" s="1571">
        <v>1665.93</v>
      </c>
      <c r="E143" s="1571">
        <v>1.0128508890656427</v>
      </c>
      <c r="F143" s="1571">
        <v>5.8340913043663756</v>
      </c>
    </row>
    <row r="144" spans="2:6">
      <c r="B144" s="1570">
        <v>36800</v>
      </c>
      <c r="C144" s="1571">
        <v>194.04</v>
      </c>
      <c r="D144" s="1571">
        <v>1668.26</v>
      </c>
      <c r="E144" s="1571">
        <v>1.013495295624836</v>
      </c>
      <c r="F144" s="1571">
        <v>5.9128240912210845</v>
      </c>
    </row>
    <row r="145" spans="2:6">
      <c r="B145" s="1570">
        <v>36831</v>
      </c>
      <c r="C145" s="1571">
        <v>194.59899999999999</v>
      </c>
      <c r="D145" s="1571">
        <v>1673.6</v>
      </c>
      <c r="E145" s="1571">
        <v>1.013431060777086</v>
      </c>
      <c r="F145" s="1571">
        <v>5.992239590954493</v>
      </c>
    </row>
    <row r="146" spans="2:6">
      <c r="B146" s="1570">
        <v>36861</v>
      </c>
      <c r="C146" s="1571">
        <v>195.827</v>
      </c>
      <c r="D146" s="1571">
        <v>1683.47</v>
      </c>
      <c r="E146" s="1571">
        <v>1.0125716392096709</v>
      </c>
      <c r="F146" s="1571">
        <v>6.0675718651498789</v>
      </c>
    </row>
    <row r="147" spans="2:6">
      <c r="B147" s="1570">
        <v>36892</v>
      </c>
      <c r="C147" s="1571">
        <v>197.04499999999999</v>
      </c>
      <c r="D147" s="1571">
        <v>1693.07</v>
      </c>
      <c r="E147" s="1571">
        <v>1.0126506879847863</v>
      </c>
      <c r="F147" s="1571">
        <v>6.144330823641158</v>
      </c>
    </row>
    <row r="148" spans="2:6">
      <c r="B148" s="1570">
        <v>36923</v>
      </c>
      <c r="C148" s="1571">
        <v>197.49100000000001</v>
      </c>
      <c r="D148" s="1571">
        <v>1700.86</v>
      </c>
      <c r="E148" s="1571">
        <v>1.0101583510827936</v>
      </c>
      <c r="F148" s="1571">
        <v>6.206747093316535</v>
      </c>
    </row>
    <row r="149" spans="2:6">
      <c r="B149" s="1570">
        <v>36951</v>
      </c>
      <c r="C149" s="1571">
        <v>198.60599999999999</v>
      </c>
      <c r="D149" s="1571">
        <v>1707.32</v>
      </c>
      <c r="E149" s="1571">
        <v>1.0125785495836725</v>
      </c>
      <c r="F149" s="1571">
        <v>6.2848189693831324</v>
      </c>
    </row>
    <row r="150" spans="2:6">
      <c r="B150" s="1570">
        <v>36982</v>
      </c>
      <c r="C150" s="1571">
        <v>200.59100000000001</v>
      </c>
      <c r="D150" s="1571">
        <v>1717.22</v>
      </c>
      <c r="E150" s="1571">
        <v>1.0118637336714187</v>
      </c>
      <c r="F150" s="1571">
        <v>6.3593803878089741</v>
      </c>
    </row>
    <row r="151" spans="2:6">
      <c r="B151" s="1570">
        <v>37012</v>
      </c>
      <c r="C151" s="1571">
        <v>202.32400000000001</v>
      </c>
      <c r="D151" s="1571">
        <v>1724.26</v>
      </c>
      <c r="E151" s="1571">
        <v>1.0133677002760824</v>
      </c>
      <c r="F151" s="1571">
        <v>6.4443906787748011</v>
      </c>
    </row>
    <row r="152" spans="2:6">
      <c r="B152" s="1570">
        <v>37043</v>
      </c>
      <c r="C152" s="1571">
        <v>204.31</v>
      </c>
      <c r="D152" s="1571">
        <v>1733.23</v>
      </c>
      <c r="E152" s="1571">
        <v>1.0127331554566117</v>
      </c>
      <c r="F152" s="1571">
        <v>6.5264481071107801</v>
      </c>
    </row>
    <row r="153" spans="2:6">
      <c r="B153" s="1570">
        <v>37073</v>
      </c>
      <c r="C153" s="1571">
        <v>207.34100000000001</v>
      </c>
      <c r="D153" s="1571">
        <v>1756.28</v>
      </c>
      <c r="E153" s="1571">
        <v>1.014979822756394</v>
      </c>
      <c r="F153" s="1571">
        <v>6.6242131429841029</v>
      </c>
    </row>
    <row r="154" spans="2:6">
      <c r="B154" s="1570">
        <v>37104</v>
      </c>
      <c r="C154" s="1571">
        <v>210.21100000000001</v>
      </c>
      <c r="D154" s="1571">
        <v>1768.57</v>
      </c>
      <c r="E154" s="1571">
        <v>1.0160000122718875</v>
      </c>
      <c r="F154" s="1571">
        <v>6.7302006345634471</v>
      </c>
    </row>
    <row r="155" spans="2:6">
      <c r="B155" s="1570">
        <v>37135</v>
      </c>
      <c r="C155" s="1571">
        <v>210.85300000000001</v>
      </c>
      <c r="D155" s="1571">
        <v>1773.52</v>
      </c>
      <c r="E155" s="1571">
        <v>1.013243107438228</v>
      </c>
      <c r="F155" s="1571">
        <v>6.8193294046478012</v>
      </c>
    </row>
    <row r="156" spans="2:6">
      <c r="B156" s="1570">
        <v>37165</v>
      </c>
      <c r="C156" s="1571">
        <v>213.339</v>
      </c>
      <c r="D156" s="1571">
        <v>1788.24</v>
      </c>
      <c r="E156" s="1571">
        <v>1.0153493751182632</v>
      </c>
      <c r="F156" s="1571">
        <v>6.9240018497347426</v>
      </c>
    </row>
    <row r="157" spans="2:6">
      <c r="B157" s="1570">
        <v>37196</v>
      </c>
      <c r="C157" s="1571">
        <v>215.685</v>
      </c>
      <c r="D157" s="1571">
        <v>1800.94</v>
      </c>
      <c r="E157" s="1571">
        <v>1.0139343824698488</v>
      </c>
      <c r="F157" s="1571">
        <v>7.0204835397308871</v>
      </c>
    </row>
    <row r="158" spans="2:6">
      <c r="B158" s="1570">
        <v>37226</v>
      </c>
      <c r="C158" s="1571">
        <v>216.16300000000001</v>
      </c>
      <c r="D158" s="1571">
        <v>1812.65</v>
      </c>
      <c r="E158" s="1571">
        <v>1.0139354159682339</v>
      </c>
      <c r="F158" s="1571">
        <v>7.1183168981551761</v>
      </c>
    </row>
    <row r="159" spans="2:6">
      <c r="B159" s="1570">
        <v>37257</v>
      </c>
      <c r="C159" s="1571">
        <v>216.94399999999999</v>
      </c>
      <c r="D159" s="1571">
        <v>1822.08</v>
      </c>
      <c r="E159" s="1571">
        <v>1.0153395939759675</v>
      </c>
      <c r="F159" s="1571">
        <v>7.2275089891651447</v>
      </c>
    </row>
    <row r="160" spans="2:6">
      <c r="B160" s="1570">
        <v>37288</v>
      </c>
      <c r="C160" s="1571">
        <v>217.07400000000001</v>
      </c>
      <c r="D160" s="1571">
        <v>1828.64</v>
      </c>
      <c r="E160" s="1571">
        <v>1.012482154231837</v>
      </c>
      <c r="F160" s="1571">
        <v>7.3177238710798918</v>
      </c>
    </row>
    <row r="161" spans="2:6">
      <c r="B161" s="1570">
        <v>37316</v>
      </c>
      <c r="C161" s="1571">
        <v>217.27600000000001</v>
      </c>
      <c r="D161" s="1571">
        <v>1839.61</v>
      </c>
      <c r="E161" s="1571">
        <v>1.013713327882185</v>
      </c>
      <c r="F161" s="1571">
        <v>7.4180742178753025</v>
      </c>
    </row>
    <row r="162" spans="2:6">
      <c r="B162" s="1570">
        <v>37347</v>
      </c>
      <c r="C162" s="1571">
        <v>218.48599999999999</v>
      </c>
      <c r="D162" s="1571">
        <v>1854.33</v>
      </c>
      <c r="E162" s="1571">
        <v>1.0148356719718208</v>
      </c>
      <c r="F162" s="1571">
        <v>7.5281263336343214</v>
      </c>
    </row>
    <row r="163" spans="2:6">
      <c r="B163" s="1570">
        <v>37377</v>
      </c>
      <c r="C163" s="1571">
        <v>220.292</v>
      </c>
      <c r="D163" s="1571">
        <v>1858.22</v>
      </c>
      <c r="E163" s="1571">
        <v>1.0141498936566418</v>
      </c>
      <c r="F163" s="1571">
        <v>7.6346485206890113</v>
      </c>
    </row>
    <row r="164" spans="2:6">
      <c r="B164" s="1570">
        <v>37408</v>
      </c>
      <c r="C164" s="1571">
        <v>223.68799999999999</v>
      </c>
      <c r="D164" s="1571">
        <v>1866.02</v>
      </c>
      <c r="E164" s="1571">
        <v>1.0132903281280037</v>
      </c>
      <c r="F164" s="1571">
        <v>7.7361155046709458</v>
      </c>
    </row>
    <row r="165" spans="2:6">
      <c r="B165" s="1570">
        <v>37438</v>
      </c>
      <c r="C165" s="1571">
        <v>228.05699999999999</v>
      </c>
      <c r="D165" s="1571">
        <v>1888.23</v>
      </c>
      <c r="E165" s="1571">
        <v>1.0153543455443825</v>
      </c>
      <c r="F165" s="1571">
        <v>7.8548984953009189</v>
      </c>
    </row>
    <row r="166" spans="2:6">
      <c r="B166" s="1570">
        <v>37469</v>
      </c>
      <c r="C166" s="1571">
        <v>233.34800000000001</v>
      </c>
      <c r="D166" s="1571">
        <v>1900.5</v>
      </c>
      <c r="E166" s="1571">
        <v>1.0144340404848073</v>
      </c>
      <c r="F166" s="1571">
        <v>7.9682764181861447</v>
      </c>
    </row>
    <row r="167" spans="2:6">
      <c r="B167" s="1570">
        <v>37500</v>
      </c>
      <c r="C167" s="1571">
        <v>238.94300000000001</v>
      </c>
      <c r="D167" s="1571">
        <v>1914.18</v>
      </c>
      <c r="E167" s="1571">
        <v>1.0138126637754254</v>
      </c>
      <c r="F167" s="1571">
        <v>8.0783395412202008</v>
      </c>
    </row>
    <row r="168" spans="2:6">
      <c r="B168" s="1570">
        <v>37530</v>
      </c>
      <c r="C168" s="1571">
        <v>248.19900000000001</v>
      </c>
      <c r="D168" s="1571">
        <v>1939.26</v>
      </c>
      <c r="E168" s="1571">
        <v>1.0164592520111337</v>
      </c>
      <c r="F168" s="1571">
        <v>8.2113029675606501</v>
      </c>
    </row>
    <row r="169" spans="2:6">
      <c r="B169" s="1570">
        <v>37561</v>
      </c>
      <c r="C169" s="1571">
        <v>261.08</v>
      </c>
      <c r="D169" s="1571">
        <v>1997.83</v>
      </c>
      <c r="E169" s="1571">
        <v>1.0154093077816833</v>
      </c>
      <c r="F169" s="1571">
        <v>8.337833462276441</v>
      </c>
    </row>
    <row r="170" spans="2:6">
      <c r="B170" s="1570">
        <v>37591</v>
      </c>
      <c r="C170" s="1571">
        <v>270.86700000000002</v>
      </c>
      <c r="D170" s="1571">
        <v>2039.78</v>
      </c>
      <c r="E170" s="1571">
        <v>1.0174244857414556</v>
      </c>
      <c r="F170" s="1571">
        <v>8.483115922554509</v>
      </c>
    </row>
    <row r="171" spans="2:6">
      <c r="B171" s="1570">
        <v>37622</v>
      </c>
      <c r="C171" s="1571">
        <v>277.173</v>
      </c>
      <c r="D171" s="1571">
        <v>2085.6799999999998</v>
      </c>
      <c r="E171" s="1571">
        <v>1.0197126646415859</v>
      </c>
      <c r="F171" s="1571">
        <v>8.6503407418515241</v>
      </c>
    </row>
    <row r="172" spans="2:6">
      <c r="B172" s="1570">
        <v>37653</v>
      </c>
      <c r="C172" s="1571">
        <v>283.50599999999997</v>
      </c>
      <c r="D172" s="1571">
        <v>2118.4299999999998</v>
      </c>
      <c r="E172" s="1571">
        <v>1.0183037986307939</v>
      </c>
      <c r="F172" s="1571">
        <v>8.8086748368781276</v>
      </c>
    </row>
    <row r="173" spans="2:6">
      <c r="B173" s="1570">
        <v>37681</v>
      </c>
      <c r="C173" s="1571">
        <v>287.85500000000002</v>
      </c>
      <c r="D173" s="1571">
        <v>2144.4899999999998</v>
      </c>
      <c r="E173" s="1571">
        <v>1.0177701866474056</v>
      </c>
      <c r="F173" s="1571">
        <v>8.9652066328457565</v>
      </c>
    </row>
    <row r="174" spans="2:6">
      <c r="B174" s="1570">
        <v>37712</v>
      </c>
      <c r="C174" s="1571">
        <v>290.512</v>
      </c>
      <c r="D174" s="1571">
        <v>2165.29</v>
      </c>
      <c r="E174" s="1571">
        <v>1.0187159495984839</v>
      </c>
      <c r="F174" s="1571">
        <v>9.1329989883260918</v>
      </c>
    </row>
    <row r="175" spans="2:6">
      <c r="B175" s="1570">
        <v>37742</v>
      </c>
      <c r="C175" s="1571">
        <v>289.74700000000001</v>
      </c>
      <c r="D175" s="1571">
        <v>2178.5</v>
      </c>
      <c r="E175" s="1571">
        <v>1.0196535248447016</v>
      </c>
      <c r="F175" s="1571">
        <v>9.312494610849793</v>
      </c>
    </row>
    <row r="176" spans="2:6">
      <c r="B176" s="1570">
        <v>37773</v>
      </c>
      <c r="C176" s="1571">
        <v>286.84300000000002</v>
      </c>
      <c r="D176" s="1571">
        <v>2175.23</v>
      </c>
      <c r="E176" s="1571">
        <v>1.0185667947451373</v>
      </c>
      <c r="F176" s="1571">
        <v>9.4853977868546391</v>
      </c>
    </row>
    <row r="177" spans="2:6">
      <c r="B177" s="1570">
        <v>37803</v>
      </c>
      <c r="C177" s="1571">
        <v>285.649</v>
      </c>
      <c r="D177" s="1571">
        <v>2179.58</v>
      </c>
      <c r="E177" s="1571">
        <v>1.0208424747911398</v>
      </c>
      <c r="F177" s="1571">
        <v>9.6830969511110894</v>
      </c>
    </row>
    <row r="178" spans="2:6">
      <c r="B178" s="1570">
        <v>37834</v>
      </c>
      <c r="C178" s="1571">
        <v>286.73500000000001</v>
      </c>
      <c r="D178" s="1571">
        <v>2186.9899999999998</v>
      </c>
      <c r="E178" s="1571">
        <v>1.0177426111342931</v>
      </c>
      <c r="F178" s="1571">
        <v>9.8549003748903132</v>
      </c>
    </row>
    <row r="179" spans="2:6">
      <c r="B179" s="1570">
        <v>37865</v>
      </c>
      <c r="C179" s="1571">
        <v>290.12700000000001</v>
      </c>
      <c r="D179" s="1571">
        <v>2204.0500000000002</v>
      </c>
      <c r="E179" s="1571">
        <v>1.0167950902831471</v>
      </c>
      <c r="F179" s="1571">
        <v>10.020414316418016</v>
      </c>
    </row>
    <row r="180" spans="2:6">
      <c r="B180" s="1570">
        <v>37895</v>
      </c>
      <c r="C180" s="1571">
        <v>291.22899999999998</v>
      </c>
      <c r="D180" s="1571">
        <v>2210.44</v>
      </c>
      <c r="E180" s="1571">
        <v>1.0164205992977207</v>
      </c>
      <c r="F180" s="1571">
        <v>10.18495552470506</v>
      </c>
    </row>
    <row r="181" spans="2:6">
      <c r="B181" s="1570">
        <v>37926</v>
      </c>
      <c r="C181" s="1571">
        <v>292.65699999999998</v>
      </c>
      <c r="D181" s="1571">
        <v>2217.96</v>
      </c>
      <c r="E181" s="1571">
        <v>1.0134353138584866</v>
      </c>
      <c r="F181" s="1571">
        <v>10.3217935988142</v>
      </c>
    </row>
    <row r="182" spans="2:6">
      <c r="B182" s="1570">
        <v>37956</v>
      </c>
      <c r="C182" s="1571">
        <v>294.45499999999998</v>
      </c>
      <c r="D182" s="1571">
        <v>2229.4899999999998</v>
      </c>
      <c r="E182" s="1571">
        <v>1.0137325047762002</v>
      </c>
      <c r="F182" s="1571">
        <v>10.463537678708869</v>
      </c>
    </row>
    <row r="183" spans="2:6">
      <c r="B183" s="1570">
        <v>37987</v>
      </c>
      <c r="C183" s="1571">
        <v>297.03899999999999</v>
      </c>
      <c r="D183" s="1571">
        <v>2246.4299999999998</v>
      </c>
      <c r="E183" s="1571">
        <v>1.0126755135884871</v>
      </c>
      <c r="F183" s="1571">
        <v>10.59616839273899</v>
      </c>
    </row>
    <row r="184" spans="2:6">
      <c r="B184" s="1570">
        <v>38018</v>
      </c>
      <c r="C184" s="1571">
        <v>299.09699999999998</v>
      </c>
      <c r="D184" s="1571">
        <v>2260.13</v>
      </c>
      <c r="E184" s="1571">
        <v>1.0108439419169848</v>
      </c>
      <c r="F184" s="1571">
        <v>10.711072627332442</v>
      </c>
    </row>
    <row r="185" spans="2:6">
      <c r="B185" s="1570">
        <v>38047</v>
      </c>
      <c r="C185" s="1571">
        <v>302.48399999999998</v>
      </c>
      <c r="D185" s="1571">
        <v>2270.75</v>
      </c>
      <c r="E185" s="1571">
        <v>1.0137912342986635</v>
      </c>
      <c r="F185" s="1571">
        <v>10.858791539525985</v>
      </c>
    </row>
    <row r="186" spans="2:6">
      <c r="B186" s="1570">
        <v>38078</v>
      </c>
      <c r="C186" s="1571">
        <v>306.15100000000001</v>
      </c>
      <c r="D186" s="1571">
        <v>2279.15</v>
      </c>
      <c r="E186" s="1571">
        <v>1.011818501098614</v>
      </c>
      <c r="F186" s="1571">
        <v>10.987126179265493</v>
      </c>
    </row>
    <row r="187" spans="2:6">
      <c r="B187" s="1570">
        <v>38108</v>
      </c>
      <c r="C187" s="1571">
        <v>310.15199999999999</v>
      </c>
      <c r="D187" s="1571">
        <v>2290.77</v>
      </c>
      <c r="E187" s="1571">
        <v>1.0122780474663127</v>
      </c>
      <c r="F187" s="1571">
        <v>11.122026636012881</v>
      </c>
    </row>
    <row r="188" spans="2:6">
      <c r="B188" s="1570">
        <v>38139</v>
      </c>
      <c r="C188" s="1571">
        <v>314.41899999999998</v>
      </c>
      <c r="D188" s="1571">
        <v>2307.0300000000002</v>
      </c>
      <c r="E188" s="1571">
        <v>1.0122988884857291</v>
      </c>
      <c r="F188" s="1571">
        <v>11.258815201344513</v>
      </c>
    </row>
    <row r="189" spans="2:6">
      <c r="B189" s="1570">
        <v>38169</v>
      </c>
      <c r="C189" s="1571">
        <v>318.53199999999998</v>
      </c>
      <c r="D189" s="1571">
        <v>2328.02</v>
      </c>
      <c r="E189" s="1571">
        <v>1.012868893920805</v>
      </c>
      <c r="F189" s="1571">
        <v>11.403703699844563</v>
      </c>
    </row>
    <row r="190" spans="2:6">
      <c r="B190" s="1570">
        <v>38200</v>
      </c>
      <c r="C190" s="1571">
        <v>322.41199999999998</v>
      </c>
      <c r="D190" s="1571">
        <v>2344.08</v>
      </c>
      <c r="E190" s="1571">
        <v>1.0129358583775749</v>
      </c>
      <c r="F190" s="1571">
        <v>11.551220395885579</v>
      </c>
    </row>
    <row r="191" spans="2:6">
      <c r="B191" s="1570">
        <v>38231</v>
      </c>
      <c r="C191" s="1571">
        <v>324.65100000000001</v>
      </c>
      <c r="D191" s="1571">
        <v>2351.8200000000002</v>
      </c>
      <c r="E191" s="1571">
        <v>1.0125132709021758</v>
      </c>
      <c r="F191" s="1571">
        <v>11.695763945950034</v>
      </c>
    </row>
    <row r="192" spans="2:6">
      <c r="B192" s="1570">
        <v>38261</v>
      </c>
      <c r="C192" s="1571">
        <v>325.92500000000001</v>
      </c>
      <c r="D192" s="1571">
        <v>2362.17</v>
      </c>
      <c r="E192" s="1571">
        <v>1.0121322386789289</v>
      </c>
      <c r="F192" s="1571">
        <v>11.837659745674712</v>
      </c>
    </row>
    <row r="193" spans="2:7">
      <c r="B193" s="1570">
        <v>38292</v>
      </c>
      <c r="C193" s="1571">
        <v>328.58800000000002</v>
      </c>
      <c r="D193" s="1571">
        <v>2378.4699999999998</v>
      </c>
      <c r="E193" s="1571">
        <v>1.0125098562166484</v>
      </c>
      <c r="F193" s="1571">
        <v>11.985747167034708</v>
      </c>
    </row>
    <row r="194" spans="2:7">
      <c r="B194" s="1570">
        <v>38322</v>
      </c>
      <c r="C194" s="1571">
        <v>331.005</v>
      </c>
      <c r="D194" s="1571">
        <v>2398.92</v>
      </c>
      <c r="E194" s="1571">
        <v>1.0148282315457626</v>
      </c>
      <c r="F194" s="1571">
        <v>12.163474601276468</v>
      </c>
    </row>
    <row r="195" spans="2:7">
      <c r="B195" s="1570">
        <v>38353</v>
      </c>
      <c r="C195" s="1571">
        <v>332.298</v>
      </c>
      <c r="D195" s="1571">
        <v>2412.83</v>
      </c>
      <c r="E195" s="1571">
        <v>1.0138388229391033</v>
      </c>
      <c r="F195" s="1571">
        <v>12.331802772607814</v>
      </c>
    </row>
    <row r="196" spans="2:7">
      <c r="B196" s="1570">
        <v>38384</v>
      </c>
      <c r="C196" s="1571">
        <v>333.28800000000001</v>
      </c>
      <c r="D196" s="1571">
        <v>2427.0700000000002</v>
      </c>
      <c r="E196" s="1571">
        <v>1.0121818576713373</v>
      </c>
      <c r="F196" s="1571">
        <v>12.482027038814724</v>
      </c>
    </row>
    <row r="197" spans="2:7">
      <c r="B197" s="1570">
        <v>38412</v>
      </c>
      <c r="C197" s="1571">
        <v>336.12299999999999</v>
      </c>
      <c r="D197" s="1571">
        <v>2441.87</v>
      </c>
      <c r="E197" s="1571">
        <v>1.0152817807540921</v>
      </c>
      <c r="F197" s="1571">
        <v>12.672774639388541</v>
      </c>
      <c r="G197" s="67"/>
    </row>
    <row r="198" spans="2:7">
      <c r="B198" s="1570">
        <v>38443</v>
      </c>
      <c r="C198" s="1571">
        <v>339.03</v>
      </c>
      <c r="D198" s="1571">
        <v>2463.11</v>
      </c>
      <c r="E198" s="1571">
        <v>1.0141152901477553</v>
      </c>
      <c r="F198" s="1571">
        <v>12.851654530400625</v>
      </c>
    </row>
    <row r="199" spans="2:7">
      <c r="B199" s="1570">
        <v>38473</v>
      </c>
      <c r="C199" s="1571">
        <v>338.29899999999998</v>
      </c>
      <c r="D199" s="1571">
        <v>2475.1799999999998</v>
      </c>
      <c r="E199" s="1571">
        <v>1.0150306502044895</v>
      </c>
      <c r="F199" s="1571">
        <v>13.044823254196018</v>
      </c>
    </row>
    <row r="200" spans="2:7">
      <c r="B200" s="1570">
        <v>38504</v>
      </c>
      <c r="C200" s="1571">
        <v>336.80099999999999</v>
      </c>
      <c r="D200" s="1571">
        <v>2474.6799999999998</v>
      </c>
      <c r="E200" s="1571">
        <v>1.0158560276185216</v>
      </c>
      <c r="F200" s="1571">
        <v>13.251662331993282</v>
      </c>
    </row>
    <row r="201" spans="2:7">
      <c r="B201" s="1570">
        <v>38534</v>
      </c>
      <c r="C201" s="1571">
        <v>335.66300000000001</v>
      </c>
      <c r="D201" s="1571">
        <v>2480.87</v>
      </c>
      <c r="E201" s="1571">
        <v>1.0151134516871545</v>
      </c>
      <c r="F201" s="1571">
        <v>13.451940690422347</v>
      </c>
    </row>
    <row r="202" spans="2:7">
      <c r="B202" s="1570">
        <v>38565</v>
      </c>
      <c r="C202" s="1571">
        <v>333.47399999999999</v>
      </c>
      <c r="D202" s="1571">
        <v>2485.09</v>
      </c>
      <c r="E202" s="1571">
        <v>1.0165848332092207</v>
      </c>
      <c r="F202" s="1571">
        <v>13.675038883113331</v>
      </c>
    </row>
    <row r="203" spans="2:7">
      <c r="B203" s="1570">
        <v>38596</v>
      </c>
      <c r="C203" s="1571">
        <v>331.69</v>
      </c>
      <c r="D203" s="1571">
        <v>2493.79</v>
      </c>
      <c r="E203" s="1571">
        <v>1.0150313602253485</v>
      </c>
      <c r="F203" s="1571">
        <v>13.880593318661054</v>
      </c>
    </row>
    <row r="204" spans="2:7">
      <c r="B204" s="1570">
        <v>38626</v>
      </c>
      <c r="C204" s="1571">
        <v>333.69400000000002</v>
      </c>
      <c r="D204" s="1571">
        <v>2512.4899999999998</v>
      </c>
      <c r="E204" s="1571">
        <v>1.0140716431638075</v>
      </c>
      <c r="F204" s="1571">
        <v>14.075916074743184</v>
      </c>
    </row>
    <row r="205" spans="2:7">
      <c r="B205" s="1570">
        <v>38657</v>
      </c>
      <c r="C205" s="1571">
        <v>335.03300000000002</v>
      </c>
      <c r="D205" s="1571">
        <v>2526.31</v>
      </c>
      <c r="E205" s="1571">
        <v>1.0138104099310956</v>
      </c>
      <c r="F205" s="1571">
        <v>14.270310245891086</v>
      </c>
    </row>
    <row r="206" spans="2:7">
      <c r="B206" s="1570">
        <v>38687</v>
      </c>
      <c r="C206" s="1571">
        <v>335.00599999999997</v>
      </c>
      <c r="D206" s="1571">
        <v>2535.4</v>
      </c>
      <c r="E206" s="1571">
        <v>1.0147357208231795</v>
      </c>
      <c r="F206" s="1571">
        <v>14.480593553734694</v>
      </c>
    </row>
    <row r="207" spans="2:7">
      <c r="B207" s="1570">
        <v>38718</v>
      </c>
      <c r="C207" s="1571">
        <v>338.08300000000003</v>
      </c>
      <c r="D207" s="1571">
        <v>2550.36</v>
      </c>
      <c r="E207" s="1571">
        <v>1.0142931741687891</v>
      </c>
      <c r="F207" s="1571">
        <v>14.687567199465668</v>
      </c>
    </row>
    <row r="208" spans="2:7">
      <c r="B208" s="1570">
        <v>38749</v>
      </c>
      <c r="C208" s="1571">
        <v>338.12799999999999</v>
      </c>
      <c r="D208" s="1571">
        <v>2560.8200000000002</v>
      </c>
      <c r="E208" s="1571">
        <v>1.0114506306443078</v>
      </c>
      <c r="F208" s="1571">
        <v>14.855749106530201</v>
      </c>
    </row>
    <row r="209" spans="2:6">
      <c r="B209" s="1570">
        <v>38777</v>
      </c>
      <c r="C209" s="1571">
        <v>337.339</v>
      </c>
      <c r="D209" s="1571">
        <v>2571.83</v>
      </c>
      <c r="E209" s="1571">
        <v>1.0142230199009199</v>
      </c>
      <c r="F209" s="1571">
        <v>15.067042721715453</v>
      </c>
    </row>
    <row r="210" spans="2:6">
      <c r="B210" s="1570">
        <v>38808</v>
      </c>
      <c r="C210" s="1571">
        <v>335.92099999999999</v>
      </c>
      <c r="D210" s="1571">
        <v>2577.23</v>
      </c>
      <c r="E210" s="1571">
        <v>1.0107787821533378</v>
      </c>
      <c r="F210" s="1571">
        <v>15.229447092907858</v>
      </c>
    </row>
    <row r="211" spans="2:6">
      <c r="B211" s="1570">
        <v>38838</v>
      </c>
      <c r="C211" s="1571">
        <v>337.185</v>
      </c>
      <c r="D211" s="1571">
        <v>2579.81</v>
      </c>
      <c r="E211" s="1571">
        <v>1.0128136552027243</v>
      </c>
      <c r="F211" s="1571">
        <v>15.424591976884511</v>
      </c>
    </row>
    <row r="212" spans="2:6">
      <c r="B212" s="1570">
        <v>38869</v>
      </c>
      <c r="C212" s="1571">
        <v>339.71199999999999</v>
      </c>
      <c r="D212" s="1571">
        <v>2574.39</v>
      </c>
      <c r="E212" s="1571">
        <v>1.0118439390435949</v>
      </c>
      <c r="F212" s="1571">
        <v>15.607279904031055</v>
      </c>
    </row>
    <row r="213" spans="2:6">
      <c r="B213" s="1570">
        <v>38899</v>
      </c>
      <c r="C213" s="1571">
        <v>340.31200000000001</v>
      </c>
      <c r="D213" s="1571">
        <v>2579.2800000000002</v>
      </c>
      <c r="E213" s="1571">
        <v>1.0116996590630269</v>
      </c>
      <c r="F213" s="1571">
        <v>15.78987975780945</v>
      </c>
    </row>
    <row r="214" spans="2:6">
      <c r="B214" s="1570">
        <v>38930</v>
      </c>
      <c r="C214" s="1571">
        <v>341.57400000000001</v>
      </c>
      <c r="D214" s="1571">
        <v>2580.5700000000002</v>
      </c>
      <c r="E214" s="1571">
        <v>1.012562646303421</v>
      </c>
      <c r="F214" s="1571">
        <v>15.988242432380357</v>
      </c>
    </row>
    <row r="215" spans="2:6" ht="13.5" customHeight="1">
      <c r="B215" s="1570">
        <v>38961</v>
      </c>
      <c r="C215" s="1571">
        <v>342.56099999999998</v>
      </c>
      <c r="D215" s="1571">
        <v>2585.9899999999998</v>
      </c>
      <c r="E215" s="1571">
        <v>1.0105730983323107</v>
      </c>
      <c r="F215" s="1571">
        <v>16.157287691778738</v>
      </c>
    </row>
    <row r="216" spans="2:6">
      <c r="B216" s="1570">
        <v>38991</v>
      </c>
      <c r="C216" s="1571">
        <v>344.15499999999997</v>
      </c>
      <c r="D216" s="1571">
        <v>2594.52</v>
      </c>
      <c r="E216" s="1571">
        <v>1.0109424441222723</v>
      </c>
      <c r="F216" s="1571">
        <v>16.334087909513503</v>
      </c>
    </row>
    <row r="217" spans="2:6">
      <c r="B217" s="1570">
        <v>39022</v>
      </c>
      <c r="C217" s="1571">
        <v>346.74599999999998</v>
      </c>
      <c r="D217" s="1571">
        <v>2602.56</v>
      </c>
      <c r="E217" s="1571">
        <v>1.0102060517349183</v>
      </c>
      <c r="F217" s="1571">
        <v>16.500794455760701</v>
      </c>
    </row>
    <row r="218" spans="2:6">
      <c r="B218" s="1570">
        <v>39052</v>
      </c>
      <c r="C218" s="1571">
        <v>347.84199999999998</v>
      </c>
      <c r="D218" s="1571">
        <v>2615.0500000000002</v>
      </c>
      <c r="E218" s="1571">
        <v>1.0098788606332807</v>
      </c>
      <c r="F218" s="1571">
        <v>16.663803504527571</v>
      </c>
    </row>
    <row r="219" spans="2:6">
      <c r="B219" s="1570">
        <v>39083</v>
      </c>
      <c r="C219" s="1571">
        <v>349.59300000000002</v>
      </c>
      <c r="D219" s="1571">
        <v>2626.56</v>
      </c>
      <c r="E219" s="1571">
        <v>1.0108280266006449</v>
      </c>
      <c r="F219" s="1571">
        <v>16.844239612142516</v>
      </c>
    </row>
    <row r="220" spans="2:6">
      <c r="B220" s="1570">
        <v>39114</v>
      </c>
      <c r="C220" s="1571">
        <v>350.524</v>
      </c>
      <c r="D220" s="1571">
        <v>2638.12</v>
      </c>
      <c r="E220" s="1571">
        <v>1.008724844950982</v>
      </c>
      <c r="F220" s="1571">
        <v>16.991202991075649</v>
      </c>
    </row>
    <row r="221" spans="2:6">
      <c r="B221" s="1570">
        <v>39142</v>
      </c>
      <c r="C221" s="1571">
        <v>351.71699999999998</v>
      </c>
      <c r="D221" s="1571">
        <v>2647.88</v>
      </c>
      <c r="E221" s="1571">
        <v>1.0105222327764332</v>
      </c>
      <c r="F221" s="1571">
        <v>17.169988384099376</v>
      </c>
    </row>
    <row r="222" spans="2:6">
      <c r="B222" s="1570">
        <v>39173</v>
      </c>
      <c r="C222" s="1571">
        <v>351.86900000000003</v>
      </c>
      <c r="D222" s="1571">
        <v>2654.5</v>
      </c>
      <c r="E222" s="1571">
        <v>1.0094482340398951</v>
      </c>
      <c r="F222" s="1571">
        <v>17.332214452814629</v>
      </c>
    </row>
    <row r="223" spans="2:6">
      <c r="B223" s="1570">
        <v>39203</v>
      </c>
      <c r="C223" s="1571">
        <v>352.02</v>
      </c>
      <c r="D223" s="1571">
        <v>2661.93</v>
      </c>
      <c r="E223" s="1571">
        <v>1.0102807696314628</v>
      </c>
      <c r="F223" s="1571">
        <v>17.510402956807127</v>
      </c>
    </row>
    <row r="224" spans="2:6">
      <c r="B224" s="1570">
        <v>39234</v>
      </c>
      <c r="C224" s="1571">
        <v>352.93599999999998</v>
      </c>
      <c r="D224" s="1571">
        <v>2669.38</v>
      </c>
      <c r="E224" s="1571">
        <v>1.0090562894719608</v>
      </c>
      <c r="F224" s="1571">
        <v>17.668982234754651</v>
      </c>
    </row>
    <row r="225" spans="2:6">
      <c r="B225" s="1570">
        <v>39264</v>
      </c>
      <c r="C225" s="1571">
        <v>353.92</v>
      </c>
      <c r="D225" s="1571">
        <v>2675.79</v>
      </c>
      <c r="E225" s="1571">
        <v>1.0097263257608722</v>
      </c>
      <c r="F225" s="1571">
        <v>17.840836511832936</v>
      </c>
    </row>
    <row r="226" spans="2:6">
      <c r="B226" s="1570">
        <v>39295</v>
      </c>
      <c r="C226" s="1571">
        <v>357.404</v>
      </c>
      <c r="D226" s="1571">
        <v>2688.37</v>
      </c>
      <c r="E226" s="1571">
        <v>1.0099263513682912</v>
      </c>
      <c r="F226" s="1571">
        <v>18.017930923753628</v>
      </c>
    </row>
    <row r="227" spans="2:6">
      <c r="B227" s="1570">
        <v>39326</v>
      </c>
      <c r="C227" s="1571">
        <v>361.99700000000001</v>
      </c>
      <c r="D227" s="1571">
        <v>2693.21</v>
      </c>
      <c r="E227" s="1571">
        <v>1.0080496134415582</v>
      </c>
      <c r="F227" s="1571">
        <v>18.162968302706542</v>
      </c>
    </row>
    <row r="228" spans="2:6">
      <c r="B228" s="1570">
        <v>39356</v>
      </c>
      <c r="C228" s="1571">
        <v>365.79399999999998</v>
      </c>
      <c r="D228" s="1571">
        <v>2701.29</v>
      </c>
      <c r="E228" s="1571">
        <v>1.0092949262855189</v>
      </c>
      <c r="F228" s="1571">
        <v>18.331791754206414</v>
      </c>
    </row>
    <row r="229" spans="2:6">
      <c r="B229" s="1570">
        <v>39387</v>
      </c>
      <c r="C229" s="1571">
        <v>368.334</v>
      </c>
      <c r="D229" s="1571">
        <v>2711.55</v>
      </c>
      <c r="E229" s="1571">
        <v>1.0084467048252397</v>
      </c>
      <c r="F229" s="1571">
        <v>18.486634988071959</v>
      </c>
    </row>
    <row r="230" spans="2:6">
      <c r="B230" s="1570">
        <v>39417</v>
      </c>
      <c r="C230" s="1571">
        <v>374.815</v>
      </c>
      <c r="D230" s="1571">
        <v>2731.62</v>
      </c>
      <c r="E230" s="1571">
        <v>1.0084467048252395</v>
      </c>
      <c r="F230" s="1571">
        <v>18.642786137028146</v>
      </c>
    </row>
    <row r="231" spans="2:6">
      <c r="B231" s="1570">
        <v>39448</v>
      </c>
      <c r="C231" s="1571">
        <v>378.9</v>
      </c>
      <c r="D231" s="1571">
        <v>2746.37</v>
      </c>
      <c r="E231" s="1571">
        <v>1.0092938367057227</v>
      </c>
      <c r="F231" s="1571">
        <v>18.816049147125398</v>
      </c>
    </row>
    <row r="232" spans="2:6">
      <c r="B232" s="1570">
        <v>39479</v>
      </c>
      <c r="C232" s="1571">
        <v>380.90600000000001</v>
      </c>
      <c r="D232" s="1571">
        <v>2759.83</v>
      </c>
      <c r="E232" s="1571">
        <v>1.0080223173492819</v>
      </c>
      <c r="F232" s="1571">
        <v>18.966997464643324</v>
      </c>
    </row>
    <row r="233" spans="2:6">
      <c r="B233" s="1570">
        <v>39508</v>
      </c>
      <c r="C233" s="1571">
        <v>383.73099999999999</v>
      </c>
      <c r="D233" s="1571">
        <v>2773.08</v>
      </c>
      <c r="E233" s="1571">
        <v>1.0084459790490408</v>
      </c>
      <c r="F233" s="1571">
        <v>19.12719232785291</v>
      </c>
    </row>
    <row r="234" spans="2:6">
      <c r="B234" s="1570">
        <v>39539</v>
      </c>
      <c r="C234" s="1571">
        <v>386.38</v>
      </c>
      <c r="D234" s="1571">
        <v>2788.33</v>
      </c>
      <c r="E234" s="1571">
        <v>1.0090142575644072</v>
      </c>
      <c r="F234" s="1571">
        <v>19.299609765980129</v>
      </c>
    </row>
    <row r="235" spans="2:6">
      <c r="B235" s="1570">
        <v>39569</v>
      </c>
      <c r="C235" s="1571">
        <v>392.59199999999998</v>
      </c>
      <c r="D235" s="1571">
        <v>2810.36</v>
      </c>
      <c r="E235" s="1571">
        <v>1.0087678287685495</v>
      </c>
      <c r="F235" s="1571">
        <v>19.46882543970807</v>
      </c>
    </row>
    <row r="236" spans="2:6">
      <c r="B236" s="1570">
        <v>39600</v>
      </c>
      <c r="C236" s="1571">
        <v>400.38200000000001</v>
      </c>
      <c r="D236" s="1571">
        <v>2831.16</v>
      </c>
      <c r="E236" s="1571">
        <v>1.0095559246898425</v>
      </c>
      <c r="F236" s="1571">
        <v>19.654868069409609</v>
      </c>
    </row>
    <row r="237" spans="2:6">
      <c r="B237" s="1570">
        <v>39630</v>
      </c>
      <c r="C237" s="1571">
        <v>407.44600000000003</v>
      </c>
      <c r="D237" s="1571">
        <v>2846.16</v>
      </c>
      <c r="E237" s="1571">
        <v>1.0106967121371</v>
      </c>
      <c r="F237" s="1571">
        <v>19.865110535240763</v>
      </c>
    </row>
    <row r="238" spans="2:6">
      <c r="B238" s="1570">
        <v>39661</v>
      </c>
      <c r="C238" s="1571">
        <v>406.12700000000001</v>
      </c>
      <c r="D238" s="1571">
        <v>2854.13</v>
      </c>
      <c r="E238" s="1571">
        <v>1.0101765713502602</v>
      </c>
      <c r="F238" s="1571">
        <v>20.067269249983447</v>
      </c>
    </row>
    <row r="239" spans="2:6">
      <c r="B239" s="1570">
        <v>39692</v>
      </c>
      <c r="C239" s="1571">
        <v>406.55700000000002</v>
      </c>
      <c r="D239" s="1571">
        <v>2861.55</v>
      </c>
      <c r="E239" s="1571">
        <v>1.011030909274969</v>
      </c>
      <c r="F239" s="1571">
        <v>20.288629476476387</v>
      </c>
    </row>
    <row r="240" spans="2:6">
      <c r="B240" s="1570">
        <v>39722</v>
      </c>
      <c r="C240" s="1571">
        <v>410.524</v>
      </c>
      <c r="D240" s="1571">
        <v>2874.43</v>
      </c>
      <c r="E240" s="1571">
        <v>1.0117587656900342</v>
      </c>
      <c r="F240" s="1571">
        <v>20.527198716662195</v>
      </c>
    </row>
    <row r="241" spans="2:6">
      <c r="B241" s="1570">
        <v>39753</v>
      </c>
      <c r="C241" s="1571">
        <v>412.10399999999998</v>
      </c>
      <c r="D241" s="1571">
        <v>2884.78</v>
      </c>
      <c r="E241" s="1571">
        <v>1.0101996908301405</v>
      </c>
      <c r="F241" s="1571">
        <v>20.736569797181005</v>
      </c>
    </row>
    <row r="242" spans="2:6">
      <c r="B242" s="1570">
        <v>39783</v>
      </c>
      <c r="C242" s="1571">
        <v>411.57499999999999</v>
      </c>
      <c r="D242" s="1571">
        <v>2892.86</v>
      </c>
      <c r="E242" s="1571">
        <v>1.0112409294280835</v>
      </c>
      <c r="F242" s="1571">
        <v>20.969668114851643</v>
      </c>
    </row>
    <row r="243" spans="2:6">
      <c r="B243" s="1570">
        <v>39814</v>
      </c>
      <c r="C243" s="1571">
        <v>409.78199999999998</v>
      </c>
      <c r="D243" s="1571">
        <v>2906.74</v>
      </c>
      <c r="E243" s="1571">
        <v>1.0104780743150839</v>
      </c>
      <c r="F243" s="1571">
        <v>21.189389855721704</v>
      </c>
    </row>
    <row r="244" spans="2:6">
      <c r="B244" s="1570">
        <v>39845</v>
      </c>
      <c r="C244" s="1571">
        <v>410.84899999999999</v>
      </c>
      <c r="D244" s="1571">
        <v>2922.73</v>
      </c>
      <c r="E244" s="1571">
        <v>1.0085508573858042</v>
      </c>
      <c r="F244" s="1571">
        <v>21.370577306470185</v>
      </c>
    </row>
    <row r="245" spans="2:6">
      <c r="B245" s="1570">
        <v>39873</v>
      </c>
      <c r="C245" s="1571">
        <v>407.80799999999999</v>
      </c>
      <c r="D245" s="1571">
        <v>2928.57</v>
      </c>
      <c r="E245" s="1571">
        <v>1.0097088387156097</v>
      </c>
      <c r="F245" s="1571">
        <v>21.578060794798173</v>
      </c>
    </row>
    <row r="246" spans="2:6">
      <c r="B246" s="1570">
        <v>39904</v>
      </c>
      <c r="C246" s="1571">
        <v>407.18099999999998</v>
      </c>
      <c r="D246" s="1571">
        <v>2942.63</v>
      </c>
      <c r="E246" s="1571">
        <v>1.008395669248594</v>
      </c>
      <c r="F246" s="1571">
        <v>21.759223056257351</v>
      </c>
    </row>
    <row r="247" spans="2:6">
      <c r="B247" s="1570">
        <v>39934</v>
      </c>
      <c r="C247" s="1571">
        <v>406.88499999999999</v>
      </c>
      <c r="D247" s="1571">
        <v>2956.46</v>
      </c>
      <c r="E247" s="1571">
        <v>1.0077089274459567</v>
      </c>
      <c r="F247" s="1571">
        <v>21.926963328078429</v>
      </c>
    </row>
    <row r="248" spans="2:6">
      <c r="B248" s="1570">
        <v>39965</v>
      </c>
      <c r="C248" s="1571">
        <v>406.48599999999999</v>
      </c>
      <c r="D248" s="1571">
        <v>2967.1</v>
      </c>
      <c r="E248" s="1571">
        <v>1.0076218232644543</v>
      </c>
      <c r="F248" s="1571">
        <v>22.094086767291213</v>
      </c>
    </row>
    <row r="249" spans="2:6">
      <c r="B249" s="1570">
        <v>39995</v>
      </c>
      <c r="C249" s="1571">
        <v>404.71800000000002</v>
      </c>
      <c r="D249" s="1571">
        <v>2974.22</v>
      </c>
      <c r="E249" s="1571">
        <v>1.0079014252372847</v>
      </c>
      <c r="F249" s="1571">
        <v>22.268661542069044</v>
      </c>
    </row>
    <row r="250" spans="2:6">
      <c r="B250" s="1570">
        <v>40026</v>
      </c>
      <c r="C250" s="1571">
        <v>403.25299999999999</v>
      </c>
      <c r="D250" s="1571">
        <v>2978.68</v>
      </c>
      <c r="E250" s="1571">
        <v>1.0069374854840563</v>
      </c>
      <c r="F250" s="1571">
        <v>22.423150058266511</v>
      </c>
    </row>
    <row r="251" spans="2:6">
      <c r="B251" s="1570">
        <v>40057</v>
      </c>
      <c r="C251" s="1571">
        <v>404.94499999999999</v>
      </c>
      <c r="D251" s="1571">
        <v>2985.83</v>
      </c>
      <c r="E251" s="1571">
        <v>1.0069374854840563</v>
      </c>
      <c r="F251" s="1571">
        <v>22.578710336302549</v>
      </c>
    </row>
    <row r="252" spans="2:6">
      <c r="B252" s="1570">
        <v>40087</v>
      </c>
      <c r="C252" s="1571">
        <v>405.12900000000002</v>
      </c>
      <c r="D252" s="1571">
        <v>2994.19</v>
      </c>
      <c r="E252" s="1571">
        <v>1.006937485484056</v>
      </c>
      <c r="F252" s="1571">
        <v>22.735349811509355</v>
      </c>
    </row>
    <row r="253" spans="2:6">
      <c r="B253" s="1570">
        <v>40118</v>
      </c>
      <c r="C253" s="1571">
        <v>405.548</v>
      </c>
      <c r="D253" s="1571">
        <v>3006.47</v>
      </c>
      <c r="E253" s="1571">
        <v>1.006606040313162</v>
      </c>
      <c r="F253" s="1571">
        <v>22.885540448898027</v>
      </c>
    </row>
    <row r="254" spans="2:6">
      <c r="B254" s="1570">
        <v>40148</v>
      </c>
      <c r="C254" s="1571">
        <v>404.49900000000002</v>
      </c>
      <c r="D254" s="1571">
        <v>3017.59</v>
      </c>
      <c r="E254" s="1571">
        <v>1.0072686672230315</v>
      </c>
      <c r="F254" s="1571">
        <v>23.051887826640293</v>
      </c>
    </row>
    <row r="255" spans="2:6">
      <c r="B255" s="1570">
        <v>40179</v>
      </c>
      <c r="C255" s="1571">
        <v>407.04899999999998</v>
      </c>
      <c r="D255" s="1571">
        <v>3040.22</v>
      </c>
      <c r="E255" s="1571">
        <v>1.0066056679915218</v>
      </c>
      <c r="F255" s="1571">
        <v>23.204160944200883</v>
      </c>
    </row>
    <row r="256" spans="2:6">
      <c r="B256" s="1570">
        <v>40210</v>
      </c>
      <c r="C256" s="1571">
        <v>411.84300000000002</v>
      </c>
      <c r="D256" s="1571">
        <v>3063.93</v>
      </c>
      <c r="E256" s="1571">
        <v>1.0059434772325486</v>
      </c>
      <c r="F256" s="1571">
        <v>23.342074346473133</v>
      </c>
    </row>
    <row r="257" spans="2:6">
      <c r="B257" s="1570">
        <v>40238</v>
      </c>
      <c r="C257" s="1571">
        <v>415.73399999999998</v>
      </c>
      <c r="D257" s="1571">
        <v>3079.86</v>
      </c>
      <c r="E257" s="1571">
        <v>1.0076007032666325</v>
      </c>
      <c r="F257" s="1571">
        <v>23.519490527208351</v>
      </c>
    </row>
    <row r="258" spans="2:6">
      <c r="B258" s="1570">
        <v>40269</v>
      </c>
      <c r="C258" s="1571">
        <v>418.91699999999997</v>
      </c>
      <c r="D258" s="1571">
        <v>3097.42</v>
      </c>
      <c r="E258" s="1571">
        <v>1.0066591320264642</v>
      </c>
      <c r="F258" s="1571">
        <v>23.676109919824206</v>
      </c>
    </row>
    <row r="259" spans="2:6">
      <c r="B259" s="1570">
        <v>40299</v>
      </c>
      <c r="C259" s="1571">
        <v>423.88499999999999</v>
      </c>
      <c r="D259" s="1571">
        <v>3110.74</v>
      </c>
      <c r="E259" s="1571">
        <v>1.0075136425194853</v>
      </c>
      <c r="F259" s="1571">
        <v>23.854003746013806</v>
      </c>
    </row>
    <row r="260" spans="2:6">
      <c r="B260" s="1570">
        <v>40330</v>
      </c>
      <c r="C260" s="1571">
        <v>427.48899999999998</v>
      </c>
      <c r="D260" s="1571">
        <v>3110.74</v>
      </c>
      <c r="E260" s="1571">
        <v>1.0079257581819461</v>
      </c>
      <c r="F260" s="1571">
        <v>24.043064811375949</v>
      </c>
    </row>
    <row r="261" spans="2:6">
      <c r="B261" s="1570">
        <v>40360</v>
      </c>
      <c r="C261" s="1571">
        <v>428.15</v>
      </c>
      <c r="D261" s="1571">
        <v>3111.05</v>
      </c>
      <c r="E261" s="1571">
        <v>1.0086102956499179</v>
      </c>
      <c r="F261" s="1571">
        <v>24.250082707732034</v>
      </c>
    </row>
    <row r="262" spans="2:6">
      <c r="B262" s="1570">
        <v>40391</v>
      </c>
      <c r="C262" s="1571">
        <v>431.44499999999999</v>
      </c>
      <c r="D262" s="1571">
        <v>3112.29</v>
      </c>
      <c r="E262" s="1571">
        <v>1.0088820963555043</v>
      </c>
      <c r="F262" s="1571">
        <v>24.465474278971058</v>
      </c>
    </row>
    <row r="263" spans="2:6">
      <c r="B263" s="1570">
        <v>40422</v>
      </c>
      <c r="C263" s="1571">
        <v>436.423</v>
      </c>
      <c r="D263" s="1571">
        <v>3126.29</v>
      </c>
      <c r="E263" s="1571">
        <v>1.0084766584844942</v>
      </c>
      <c r="F263" s="1571">
        <v>24.672859749095071</v>
      </c>
    </row>
    <row r="264" spans="2:6">
      <c r="B264" s="1570">
        <v>40452</v>
      </c>
      <c r="C264" s="1571">
        <v>440.82900000000001</v>
      </c>
      <c r="D264" s="1571">
        <v>3149.74</v>
      </c>
      <c r="E264" s="1571">
        <v>1.0080713835461668</v>
      </c>
      <c r="F264" s="1571">
        <v>24.872003863310798</v>
      </c>
    </row>
    <row r="265" spans="2:6">
      <c r="B265" s="1570">
        <v>40483</v>
      </c>
      <c r="C265" s="1571">
        <v>447.20600000000002</v>
      </c>
      <c r="D265" s="1571">
        <v>3175.88</v>
      </c>
      <c r="E265" s="1571">
        <v>1.008071383546167</v>
      </c>
      <c r="F265" s="1571">
        <v>25.072755346053327</v>
      </c>
    </row>
    <row r="266" spans="2:6">
      <c r="B266" s="1570">
        <v>40513</v>
      </c>
      <c r="C266" s="1571">
        <v>450.30099999999999</v>
      </c>
      <c r="D266" s="1571">
        <v>3195.89</v>
      </c>
      <c r="E266" s="1571">
        <v>1.0092887868177591</v>
      </c>
      <c r="F266" s="1571">
        <v>25.305650825396647</v>
      </c>
    </row>
    <row r="267" spans="2:6">
      <c r="B267" s="1570">
        <v>40544</v>
      </c>
      <c r="C267" s="1571">
        <v>453.875</v>
      </c>
      <c r="D267" s="1571">
        <v>3222.42</v>
      </c>
      <c r="E267" s="1571">
        <v>1.0086232010755674</v>
      </c>
      <c r="F267" s="1571">
        <v>25.52386654081214</v>
      </c>
    </row>
    <row r="268" spans="2:6">
      <c r="B268" s="1570">
        <v>40575</v>
      </c>
      <c r="C268" s="1571">
        <v>458.39699999999999</v>
      </c>
      <c r="D268" s="1571">
        <v>3248.2</v>
      </c>
      <c r="E268" s="1571">
        <v>1.0084390842010735</v>
      </c>
      <c r="F268" s="1571">
        <v>25.739264599687019</v>
      </c>
    </row>
    <row r="269" spans="2:6">
      <c r="B269" s="1570">
        <v>40603</v>
      </c>
      <c r="C269" s="1571">
        <v>461.24900000000002</v>
      </c>
      <c r="D269" s="1571">
        <v>3273.86</v>
      </c>
      <c r="E269" s="1571">
        <v>1.0092045846073012</v>
      </c>
      <c r="F269" s="1571">
        <v>25.97618383842455</v>
      </c>
    </row>
    <row r="270" spans="2:6">
      <c r="B270" s="1570">
        <v>40634</v>
      </c>
      <c r="C270" s="1571">
        <v>463.31099999999998</v>
      </c>
      <c r="D270" s="1571">
        <v>3299.07</v>
      </c>
      <c r="E270" s="1571">
        <v>1.0084015541577225</v>
      </c>
      <c r="F270" s="1571">
        <v>26.194424153754028</v>
      </c>
    </row>
    <row r="271" spans="2:6">
      <c r="B271" s="1570">
        <v>40664</v>
      </c>
      <c r="C271" s="1571">
        <v>465.31099999999998</v>
      </c>
      <c r="D271" s="1571">
        <v>3314.58</v>
      </c>
      <c r="E271" s="1571">
        <v>1.0098798495673293</v>
      </c>
      <c r="F271" s="1571">
        <v>26.453221123895936</v>
      </c>
    </row>
    <row r="272" spans="2:6">
      <c r="B272" s="1570">
        <v>40695</v>
      </c>
      <c r="C272" s="1571">
        <v>464.46300000000002</v>
      </c>
      <c r="D272" s="1571">
        <v>3319.55</v>
      </c>
      <c r="E272" s="1571">
        <v>1.0095627565914342</v>
      </c>
      <c r="F272" s="1571">
        <v>26.706186838563141</v>
      </c>
    </row>
    <row r="273" spans="2:7">
      <c r="B273" s="1570">
        <v>40725</v>
      </c>
      <c r="C273" s="1571">
        <v>463.92700000000002</v>
      </c>
      <c r="D273" s="1571">
        <v>3324.86</v>
      </c>
      <c r="E273" s="1571">
        <v>1.0096788504099796</v>
      </c>
      <c r="F273" s="1571">
        <v>26.96467202599456</v>
      </c>
    </row>
    <row r="274" spans="2:7">
      <c r="B274" s="1570">
        <v>40756</v>
      </c>
      <c r="C274" s="1571">
        <v>465.96800000000002</v>
      </c>
      <c r="D274" s="1571">
        <v>3337.16</v>
      </c>
      <c r="E274" s="1571">
        <v>1.0107406292787873</v>
      </c>
      <c r="F274" s="1571">
        <v>27.254289571849853</v>
      </c>
    </row>
    <row r="275" spans="2:7">
      <c r="B275" s="1570">
        <v>40787</v>
      </c>
      <c r="C275" s="1571">
        <v>468.97500000000002</v>
      </c>
      <c r="D275" s="1571">
        <v>3354.85</v>
      </c>
      <c r="E275" s="1571">
        <v>1.00941760689889</v>
      </c>
      <c r="F275" s="1571">
        <v>27.510959757346054</v>
      </c>
    </row>
    <row r="276" spans="2:7">
      <c r="B276" s="1570">
        <v>40817</v>
      </c>
      <c r="C276" s="1571">
        <v>471.46600000000001</v>
      </c>
      <c r="D276" s="1571">
        <v>3369.28</v>
      </c>
      <c r="E276" s="1571">
        <v>1.0088195463919019</v>
      </c>
      <c r="F276" s="1571">
        <v>27.753593943211712</v>
      </c>
    </row>
    <row r="277" spans="2:7">
      <c r="B277" s="1570">
        <v>40848</v>
      </c>
      <c r="C277" s="1571">
        <v>473.80799999999999</v>
      </c>
      <c r="D277" s="1571">
        <v>3386.8</v>
      </c>
      <c r="E277" s="1571">
        <v>1.0086047745492386</v>
      </c>
      <c r="F277" s="1571">
        <v>27.992407362024164</v>
      </c>
    </row>
    <row r="278" spans="2:7">
      <c r="B278" s="1570">
        <v>40878</v>
      </c>
      <c r="C278" s="1571">
        <v>473.25200000000001</v>
      </c>
      <c r="D278" s="1571">
        <v>3403.73</v>
      </c>
      <c r="E278" s="1571">
        <v>1.0090732804800764</v>
      </c>
      <c r="F278" s="1571">
        <v>28.246390325332364</v>
      </c>
    </row>
    <row r="279" spans="2:7">
      <c r="B279" s="1570">
        <v>40909</v>
      </c>
      <c r="C279" s="1571">
        <v>474.42899999999997</v>
      </c>
      <c r="D279" s="1571">
        <v>3422.79</v>
      </c>
      <c r="E279" s="1571">
        <v>1.0089101617717657</v>
      </c>
      <c r="F279" s="1571">
        <v>28.498070232599513</v>
      </c>
    </row>
    <row r="280" spans="2:7">
      <c r="B280" s="1570">
        <v>40940</v>
      </c>
      <c r="C280" s="1571">
        <v>474.13799999999998</v>
      </c>
      <c r="D280" s="1571">
        <v>3438.19</v>
      </c>
      <c r="E280" s="1571">
        <v>1.0074877292470876</v>
      </c>
      <c r="F280" s="1571">
        <v>28.711456066565706</v>
      </c>
    </row>
    <row r="281" spans="2:7">
      <c r="B281" s="1570">
        <v>40969</v>
      </c>
      <c r="C281" s="1571">
        <v>476.166</v>
      </c>
      <c r="D281" s="1571">
        <v>3445.41</v>
      </c>
      <c r="E281" s="1571">
        <v>1.0082113884808406</v>
      </c>
      <c r="F281" s="1571">
        <v>28.947216986178862</v>
      </c>
    </row>
    <row r="282" spans="2:7">
      <c r="B282" s="1570">
        <v>41000</v>
      </c>
      <c r="C282" s="1571">
        <v>480.22899999999998</v>
      </c>
      <c r="D282" s="1571">
        <v>3467.46</v>
      </c>
      <c r="E282" s="1571">
        <v>1.0071187588624242</v>
      </c>
      <c r="F282" s="1571">
        <v>29.15328524364174</v>
      </c>
    </row>
    <row r="283" spans="2:7">
      <c r="B283" s="1570">
        <v>41030</v>
      </c>
      <c r="C283" s="1571">
        <v>485.14</v>
      </c>
      <c r="D283" s="1571">
        <v>3479.94</v>
      </c>
      <c r="E283" s="1571">
        <v>1.007447242329657</v>
      </c>
      <c r="F283" s="1571">
        <v>29.370396823556753</v>
      </c>
      <c r="G283" s="11"/>
    </row>
    <row r="284" spans="2:7">
      <c r="B284" s="1570">
        <v>41061</v>
      </c>
      <c r="C284" s="1571">
        <v>488.34199999999998</v>
      </c>
      <c r="D284" s="1571">
        <v>3482.72</v>
      </c>
      <c r="E284" s="1571">
        <v>1.0064150263426446</v>
      </c>
      <c r="F284" s="1571">
        <v>29.558808692873793</v>
      </c>
    </row>
    <row r="285" spans="2:7">
      <c r="B285" s="1570">
        <v>41091</v>
      </c>
      <c r="C285" s="1571">
        <v>494.89100000000002</v>
      </c>
      <c r="D285" s="1571">
        <v>3497.7</v>
      </c>
      <c r="E285" s="1571">
        <v>1.0067996486835762</v>
      </c>
      <c r="F285" s="1571">
        <v>29.759798207490373</v>
      </c>
    </row>
    <row r="286" spans="2:7">
      <c r="B286" s="1570">
        <v>41122</v>
      </c>
      <c r="C286" s="1571">
        <v>501.95699999999999</v>
      </c>
      <c r="D286" s="1571">
        <v>3512.04</v>
      </c>
      <c r="E286" s="1571">
        <v>1.0069181066014252</v>
      </c>
      <c r="F286" s="1571">
        <v>29.965679663926696</v>
      </c>
    </row>
    <row r="287" spans="2:7">
      <c r="B287" s="1570">
        <v>41153</v>
      </c>
      <c r="C287" s="1571">
        <v>506.80399999999997</v>
      </c>
      <c r="D287" s="1571">
        <v>3532.06</v>
      </c>
      <c r="E287" s="1571">
        <v>1.0053899533259578</v>
      </c>
      <c r="F287" s="1571">
        <v>30.127193278695866</v>
      </c>
    </row>
    <row r="288" spans="2:7">
      <c r="B288" s="1570">
        <v>41183</v>
      </c>
      <c r="C288" s="1571">
        <v>506.92599999999999</v>
      </c>
      <c r="D288" s="1571">
        <v>3552.9</v>
      </c>
      <c r="E288" s="1571">
        <v>1.0061133864051108</v>
      </c>
      <c r="F288" s="1571">
        <v>30.311372452509993</v>
      </c>
    </row>
    <row r="289" spans="2:7">
      <c r="B289" s="1570">
        <v>41214</v>
      </c>
      <c r="C289" s="1571">
        <v>506.79500000000002</v>
      </c>
      <c r="D289" s="1571">
        <v>3574.22</v>
      </c>
      <c r="E289" s="1571">
        <v>1.0054884576647556</v>
      </c>
      <c r="F289" s="1571">
        <v>30.477735136976232</v>
      </c>
    </row>
    <row r="290" spans="2:7">
      <c r="B290" s="1570">
        <v>41244</v>
      </c>
      <c r="C290" s="1571">
        <v>510.25200000000001</v>
      </c>
      <c r="D290" s="1571">
        <v>3602.46</v>
      </c>
      <c r="E290" s="1571">
        <v>1.0055015154231364</v>
      </c>
      <c r="F290" s="1571">
        <v>30.645408866894574</v>
      </c>
    </row>
    <row r="291" spans="2:7">
      <c r="B291" s="1570">
        <v>41275</v>
      </c>
      <c r="C291" s="1571">
        <v>511.97699999999998</v>
      </c>
      <c r="D291" s="1571">
        <v>3633.44</v>
      </c>
      <c r="E291" s="1571">
        <v>1.0060143970219473</v>
      </c>
      <c r="F291" s="1571">
        <v>30.82972252271998</v>
      </c>
    </row>
    <row r="292" spans="2:7">
      <c r="B292" s="1570">
        <v>41306</v>
      </c>
      <c r="C292" s="1571">
        <v>513.46699999999998</v>
      </c>
      <c r="D292" s="1571">
        <v>3655.24</v>
      </c>
      <c r="E292" s="1571">
        <v>1.0049274991744226</v>
      </c>
      <c r="F292" s="1571">
        <v>30.98163595499836</v>
      </c>
    </row>
    <row r="293" spans="2:7">
      <c r="B293" s="1570">
        <v>41334</v>
      </c>
      <c r="C293" s="1571">
        <v>514.52599999999995</v>
      </c>
      <c r="D293" s="1571">
        <v>3672.42</v>
      </c>
      <c r="E293" s="1571">
        <v>1.0054940366101026</v>
      </c>
      <c r="F293" s="1571">
        <v>31.151850197175992</v>
      </c>
    </row>
    <row r="294" spans="2:7">
      <c r="B294" s="1570">
        <v>41365</v>
      </c>
      <c r="C294" s="1571">
        <v>515.27599999999995</v>
      </c>
      <c r="D294" s="1571">
        <v>3692.62</v>
      </c>
      <c r="E294" s="1571">
        <v>1.0061364605097283</v>
      </c>
      <c r="F294" s="1571">
        <v>31.343012295715933</v>
      </c>
    </row>
    <row r="295" spans="2:7">
      <c r="B295" s="1570">
        <v>41395</v>
      </c>
      <c r="C295" s="1571">
        <v>515.29899999999998</v>
      </c>
      <c r="D295" s="1571">
        <v>3706.28</v>
      </c>
      <c r="E295" s="1571">
        <v>1.0059853629993882</v>
      </c>
      <c r="F295" s="1571">
        <v>31.530611601800082</v>
      </c>
    </row>
    <row r="296" spans="2:7">
      <c r="B296" s="1570">
        <v>41426</v>
      </c>
      <c r="C296" s="1571">
        <v>519.15300000000002</v>
      </c>
      <c r="D296" s="1571">
        <v>3715.92</v>
      </c>
      <c r="E296" s="1571">
        <v>1.0060527337434972</v>
      </c>
      <c r="F296" s="1571">
        <v>31.721457998595405</v>
      </c>
      <c r="G296" s="66"/>
    </row>
    <row r="297" spans="2:7">
      <c r="B297" s="1570">
        <v>41456</v>
      </c>
      <c r="C297" s="1571">
        <v>520.50800000000004</v>
      </c>
      <c r="D297" s="1571">
        <v>3717.03</v>
      </c>
      <c r="E297" s="1571">
        <v>1.0072409169740031</v>
      </c>
      <c r="F297" s="1571">
        <v>31.951150442257561</v>
      </c>
    </row>
    <row r="298" spans="2:7">
      <c r="B298" s="1570">
        <v>41487</v>
      </c>
      <c r="C298" s="1571">
        <v>521.27</v>
      </c>
      <c r="D298" s="1571">
        <v>3725.95</v>
      </c>
      <c r="E298" s="1571">
        <v>1.0071031495053051</v>
      </c>
      <c r="F298" s="1571">
        <v>32.178104240715413</v>
      </c>
    </row>
    <row r="299" spans="2:7">
      <c r="B299" s="1570">
        <v>41518</v>
      </c>
      <c r="C299" s="1571">
        <v>529.08500000000004</v>
      </c>
      <c r="D299" s="1571">
        <v>3738.99</v>
      </c>
      <c r="E299" s="1571">
        <v>1.0071302882501354</v>
      </c>
      <c r="F299" s="1571">
        <v>32.407543399294617</v>
      </c>
    </row>
    <row r="300" spans="2:7">
      <c r="B300" s="1570">
        <v>41548</v>
      </c>
      <c r="C300" s="1571">
        <v>533.62099999999998</v>
      </c>
      <c r="D300" s="1571">
        <v>3760.3</v>
      </c>
      <c r="E300" s="1571">
        <v>1.0081051023495244</v>
      </c>
      <c r="F300" s="1571">
        <v>32.670209855442558</v>
      </c>
      <c r="G300" s="67"/>
    </row>
    <row r="301" spans="2:7">
      <c r="B301" s="1570">
        <v>41579</v>
      </c>
      <c r="C301" s="1571">
        <v>535.16800000000001</v>
      </c>
      <c r="D301" s="1571">
        <v>3780.61</v>
      </c>
      <c r="E301" s="1571">
        <v>1.0071920752752215</v>
      </c>
      <c r="F301" s="1571">
        <v>32.905176463980183</v>
      </c>
      <c r="G301" s="67"/>
    </row>
    <row r="302" spans="2:7">
      <c r="B302" s="1570">
        <v>41609</v>
      </c>
      <c r="C302" s="1571">
        <v>538.37</v>
      </c>
      <c r="D302" s="1571">
        <v>3815.39</v>
      </c>
      <c r="E302" s="1571">
        <v>1.0078974581644051</v>
      </c>
      <c r="F302" s="1571">
        <v>33.165043718496833</v>
      </c>
      <c r="G302" s="66"/>
    </row>
    <row r="303" spans="2:7">
      <c r="B303" s="1570">
        <v>41640</v>
      </c>
      <c r="C303" s="1571">
        <v>540.95899999999995</v>
      </c>
      <c r="D303" s="1571">
        <v>3836.38</v>
      </c>
      <c r="E303" s="1571">
        <v>1.0084934395272054</v>
      </c>
      <c r="F303" s="1571">
        <v>33.446729011737006</v>
      </c>
    </row>
    <row r="304" spans="2:7">
      <c r="B304" s="1570">
        <v>41671</v>
      </c>
      <c r="C304" s="1571">
        <v>543.03800000000001</v>
      </c>
      <c r="D304" s="1571">
        <v>3862.84</v>
      </c>
      <c r="E304" s="1571">
        <v>1.007901464239193</v>
      </c>
      <c r="F304" s="1571">
        <v>33.711007144941227</v>
      </c>
    </row>
    <row r="305" spans="2:6">
      <c r="B305" s="1570">
        <v>41699</v>
      </c>
      <c r="C305" s="1571">
        <v>552.08699999999999</v>
      </c>
      <c r="D305" s="1571">
        <v>3898.38</v>
      </c>
      <c r="E305" s="1571">
        <v>1.0076595732083427</v>
      </c>
      <c r="F305" s="1571">
        <v>33.969219072094866</v>
      </c>
    </row>
    <row r="306" spans="2:6">
      <c r="B306" s="1570">
        <v>41730</v>
      </c>
      <c r="C306" s="1571">
        <v>556.41999999999996</v>
      </c>
      <c r="D306" s="1571">
        <v>3924.5</v>
      </c>
      <c r="E306" s="1571">
        <v>1.0082266762081393</v>
      </c>
      <c r="F306" s="1571">
        <v>34.248672838444342</v>
      </c>
    </row>
    <row r="307" spans="2:6">
      <c r="B307" s="1570">
        <v>41760</v>
      </c>
      <c r="C307" s="1571">
        <v>555.67899999999997</v>
      </c>
      <c r="D307" s="1571">
        <v>3942.55</v>
      </c>
      <c r="E307" s="1571">
        <v>1.0086587318278823</v>
      </c>
      <c r="F307" s="1571">
        <v>34.545222912013308</v>
      </c>
    </row>
    <row r="308" spans="2:6">
      <c r="B308" s="1570">
        <v>41791</v>
      </c>
      <c r="C308" s="1571">
        <v>551.55399999999997</v>
      </c>
      <c r="D308" s="1571">
        <v>3958.32</v>
      </c>
      <c r="E308" s="1571">
        <v>1.0082447163000285</v>
      </c>
      <c r="F308" s="1571">
        <v>34.830038474444102</v>
      </c>
    </row>
    <row r="309" spans="2:6">
      <c r="B309" s="1570">
        <v>41821</v>
      </c>
      <c r="C309" s="1571">
        <v>548.202</v>
      </c>
      <c r="D309" s="1571">
        <v>3958.72</v>
      </c>
      <c r="E309" s="1571">
        <v>1.0094872729749897</v>
      </c>
      <c r="F309" s="1571">
        <v>35.160480557180549</v>
      </c>
    </row>
    <row r="310" spans="2:6">
      <c r="B310" s="1570">
        <v>41852</v>
      </c>
      <c r="C310" s="1571">
        <v>546.745</v>
      </c>
      <c r="D310" s="1571">
        <v>3968.62</v>
      </c>
      <c r="E310" s="1571">
        <v>1.0086598207325679</v>
      </c>
      <c r="F310" s="1571">
        <v>35.464964015676671</v>
      </c>
    </row>
    <row r="311" spans="2:6">
      <c r="B311" s="1570">
        <v>41883</v>
      </c>
      <c r="C311" s="1571">
        <v>547.83900000000006</v>
      </c>
      <c r="D311" s="1571">
        <v>3991.24</v>
      </c>
      <c r="E311" s="1571">
        <v>1.0090729173629331</v>
      </c>
      <c r="F311" s="1571">
        <v>35.786734703470302</v>
      </c>
    </row>
    <row r="312" spans="2:6">
      <c r="B312" s="1570">
        <v>41913</v>
      </c>
      <c r="C312" s="1571">
        <v>549.39599999999996</v>
      </c>
      <c r="D312" s="1571">
        <v>4008</v>
      </c>
      <c r="E312" s="1571">
        <v>1.009505315279368</v>
      </c>
      <c r="F312" s="1571">
        <v>36.126898899645887</v>
      </c>
    </row>
    <row r="313" spans="2:6">
      <c r="B313" s="1570">
        <v>41944</v>
      </c>
      <c r="C313" s="1571">
        <v>554.76900000000001</v>
      </c>
      <c r="D313" s="1571">
        <v>4028.44</v>
      </c>
      <c r="E313" s="1571">
        <v>1.0084249317586502</v>
      </c>
      <c r="F313" s="1571">
        <v>36.431265557527063</v>
      </c>
    </row>
    <row r="314" spans="2:6">
      <c r="B314" s="1570">
        <v>41974</v>
      </c>
      <c r="C314" s="1571">
        <v>558.21299999999997</v>
      </c>
      <c r="D314" s="1571">
        <v>4059.86</v>
      </c>
      <c r="E314" s="1571">
        <v>1.0096129495106978</v>
      </c>
      <c r="F314" s="1571">
        <v>36.781477473942395</v>
      </c>
    </row>
    <row r="315" spans="2:6">
      <c r="B315" s="1570">
        <v>42005</v>
      </c>
      <c r="C315" s="1571">
        <v>562.48199999999997</v>
      </c>
      <c r="D315" s="1571">
        <v>4110.2</v>
      </c>
      <c r="E315" s="1571">
        <v>1.0093507541041149</v>
      </c>
      <c r="F315" s="1571">
        <v>37.12541202538727</v>
      </c>
    </row>
    <row r="316" spans="2:6">
      <c r="B316" s="1570">
        <v>42036</v>
      </c>
      <c r="C316" s="1571">
        <v>564.00400000000002</v>
      </c>
      <c r="D316" s="1571">
        <v>4160.34</v>
      </c>
      <c r="E316" s="1571">
        <v>1.0082241099890967</v>
      </c>
      <c r="F316" s="1571">
        <v>37.43073549727459</v>
      </c>
    </row>
    <row r="317" spans="2:6">
      <c r="B317" s="1570">
        <v>42064</v>
      </c>
      <c r="C317" s="1571">
        <v>569.53599999999994</v>
      </c>
      <c r="D317" s="1571">
        <v>4215.26</v>
      </c>
      <c r="E317" s="1571">
        <v>1.0103996710699541</v>
      </c>
      <c r="F317" s="1571">
        <v>37.820002834352699</v>
      </c>
    </row>
    <row r="318" spans="2:6">
      <c r="B318" s="1570">
        <v>42095</v>
      </c>
      <c r="C318" s="1571">
        <v>576.17499999999995</v>
      </c>
      <c r="D318" s="1571">
        <v>4245.1899999999996</v>
      </c>
      <c r="E318" s="1571">
        <v>1.0095179160892187</v>
      </c>
      <c r="F318" s="1571">
        <v>38.179970447824083</v>
      </c>
    </row>
    <row r="319" spans="2:6">
      <c r="B319" s="1570">
        <v>42125</v>
      </c>
      <c r="C319" s="1571">
        <v>578.51599999999996</v>
      </c>
      <c r="D319" s="1571">
        <v>4276.6000000000004</v>
      </c>
      <c r="E319" s="1571">
        <v>1.0098532226245138</v>
      </c>
      <c r="F319" s="1571">
        <v>38.556166196443854</v>
      </c>
    </row>
    <row r="320" spans="2:6">
      <c r="B320" s="1570">
        <v>42156</v>
      </c>
      <c r="C320" s="1571">
        <v>582.40099999999995</v>
      </c>
      <c r="D320" s="1571">
        <v>4310.3900000000003</v>
      </c>
      <c r="E320" s="1571">
        <v>1.0106667572412273</v>
      </c>
      <c r="F320" s="1571">
        <v>38.967435461413736</v>
      </c>
    </row>
    <row r="321" spans="2:6">
      <c r="B321" s="1570">
        <v>42186</v>
      </c>
      <c r="C321" s="1571">
        <v>586.42600000000004</v>
      </c>
      <c r="D321" s="1571">
        <v>4337.1099999999997</v>
      </c>
      <c r="E321" s="1571">
        <v>1.0117819838421735</v>
      </c>
      <c r="F321" s="1571">
        <v>39.426549156391054</v>
      </c>
    </row>
    <row r="322" spans="2:6">
      <c r="B322" s="1570">
        <v>42217</v>
      </c>
      <c r="C322" s="1571">
        <v>588.04200000000003</v>
      </c>
      <c r="D322" s="1571">
        <v>4346.6499999999996</v>
      </c>
      <c r="E322" s="1571">
        <v>1.0110896528780247</v>
      </c>
      <c r="F322" s="1571">
        <v>39.863775900713804</v>
      </c>
    </row>
    <row r="323" spans="2:6">
      <c r="B323" s="1570">
        <v>42248</v>
      </c>
      <c r="C323" s="1571">
        <v>593.60599999999999</v>
      </c>
      <c r="D323" s="1571">
        <v>4370.12</v>
      </c>
      <c r="E323" s="1571">
        <v>1.0110896528780244</v>
      </c>
      <c r="F323" s="1571">
        <v>40.305851337860076</v>
      </c>
    </row>
    <row r="324" spans="2:6">
      <c r="B324" s="1570">
        <v>42278</v>
      </c>
      <c r="C324" s="1571">
        <v>604.83199999999999</v>
      </c>
      <c r="D324" s="1571">
        <v>4405.95</v>
      </c>
      <c r="E324" s="1571">
        <v>1.0110896528780242</v>
      </c>
      <c r="F324" s="1571">
        <v>40.752829238150191</v>
      </c>
    </row>
    <row r="325" spans="2:6">
      <c r="B325" s="1570">
        <v>42309</v>
      </c>
      <c r="C325" s="1571">
        <v>614.05100000000004</v>
      </c>
      <c r="D325" s="1571">
        <v>4450.45</v>
      </c>
      <c r="E325" s="1571">
        <v>1.0105587962367735</v>
      </c>
      <c r="F325" s="1571">
        <v>41.183130058147846</v>
      </c>
    </row>
    <row r="326" spans="2:6">
      <c r="B326" s="1570">
        <v>42339</v>
      </c>
      <c r="C326" s="1571">
        <v>617.04399999999998</v>
      </c>
      <c r="D326" s="1571">
        <v>4493.17</v>
      </c>
      <c r="E326" s="1571">
        <v>1.0116207883835777</v>
      </c>
      <c r="F326" s="1571">
        <v>41.66171049752694</v>
      </c>
    </row>
    <row r="327" spans="2:6">
      <c r="B327" s="1570">
        <v>42370</v>
      </c>
      <c r="C327" s="1571">
        <v>624.05999999999995</v>
      </c>
      <c r="D327" s="1571">
        <v>4550.2299999999996</v>
      </c>
      <c r="E327" s="1571">
        <v>1.0105587962367735</v>
      </c>
      <c r="F327" s="1571">
        <v>42.101608009545771</v>
      </c>
    </row>
    <row r="328" spans="2:6">
      <c r="B328" s="1570">
        <v>42401</v>
      </c>
      <c r="C328" s="1571">
        <v>632.11400000000003</v>
      </c>
      <c r="D328" s="1571">
        <v>4591.18</v>
      </c>
      <c r="E328" s="1571">
        <v>1.0100282183134115</v>
      </c>
      <c r="F328" s="1571">
        <v>42.523812126011173</v>
      </c>
    </row>
    <row r="329" spans="2:6">
      <c r="B329" s="1570">
        <v>42430</v>
      </c>
      <c r="C329" s="1571">
        <v>635.34900000000005</v>
      </c>
      <c r="D329" s="1571">
        <v>4610.92</v>
      </c>
      <c r="E329" s="1571">
        <v>1.0116207883835779</v>
      </c>
      <c r="F329" s="1571">
        <v>43.017972347990572</v>
      </c>
    </row>
    <row r="330" spans="2:6">
      <c r="B330" s="1570">
        <v>42461</v>
      </c>
      <c r="C330" s="1571">
        <v>637.43399999999997</v>
      </c>
      <c r="D330" s="1571">
        <v>4639.05</v>
      </c>
      <c r="E330" s="1571">
        <v>1.0105587962367735</v>
      </c>
      <c r="F330" s="1571">
        <v>43.472190352532159</v>
      </c>
    </row>
    <row r="331" spans="2:6">
      <c r="B331" s="1570">
        <v>42491</v>
      </c>
      <c r="C331" s="1571">
        <v>642.65099999999995</v>
      </c>
      <c r="D331" s="1571">
        <v>4675.2299999999996</v>
      </c>
      <c r="E331" s="1571">
        <v>1.0110896528780244</v>
      </c>
      <c r="F331" s="1571">
        <v>43.954281853389141</v>
      </c>
    </row>
    <row r="332" spans="2:6">
      <c r="B332" s="1570">
        <v>42522</v>
      </c>
      <c r="C332" s="1571">
        <v>653.49599999999998</v>
      </c>
      <c r="D332" s="1571">
        <v>4691.59</v>
      </c>
      <c r="E332" s="1571">
        <v>1.0116207883835777</v>
      </c>
      <c r="F332" s="1571">
        <v>44.465065261359506</v>
      </c>
    </row>
    <row r="333" spans="2:6">
      <c r="B333" s="1570">
        <v>42552</v>
      </c>
      <c r="C333" s="1571">
        <v>654.64099999999996</v>
      </c>
      <c r="D333" s="1571">
        <v>4715.99</v>
      </c>
      <c r="E333" s="1571">
        <v>1.0110896528780242</v>
      </c>
      <c r="F333" s="1571">
        <v>44.958167400306678</v>
      </c>
    </row>
    <row r="334" spans="2:6">
      <c r="B334" s="1570">
        <v>42583</v>
      </c>
      <c r="C334" s="1571">
        <v>655.60199999999998</v>
      </c>
      <c r="D334" s="1571">
        <v>4736.74</v>
      </c>
      <c r="E334" s="1571">
        <v>1.0121522028999232</v>
      </c>
      <c r="F334" s="1571">
        <v>45.504508172563916</v>
      </c>
    </row>
    <row r="335" spans="2:6">
      <c r="B335" s="1570">
        <v>42614</v>
      </c>
      <c r="C335" s="1571">
        <v>656.89400000000001</v>
      </c>
      <c r="D335" s="1571">
        <v>4740.53</v>
      </c>
      <c r="E335" s="1571">
        <v>1.0110896528780247</v>
      </c>
      <c r="F335" s="1571">
        <v>46.009137372582884</v>
      </c>
    </row>
    <row r="336" spans="2:6">
      <c r="B336" s="1570">
        <v>42644</v>
      </c>
      <c r="C336" s="1571">
        <v>657.92700000000002</v>
      </c>
      <c r="D336" s="1571">
        <v>4752.8599999999997</v>
      </c>
      <c r="E336" s="1571">
        <v>1.0104884196148551</v>
      </c>
      <c r="F336" s="1571">
        <v>46.491700511464046</v>
      </c>
    </row>
    <row r="337" spans="2:6">
      <c r="B337" s="1570">
        <v>42675</v>
      </c>
      <c r="C337" s="1571">
        <v>657.75199999999995</v>
      </c>
      <c r="D337" s="1571">
        <v>4761.42</v>
      </c>
      <c r="E337" s="1571">
        <v>1.0103828638714687</v>
      </c>
      <c r="F337" s="1571">
        <v>46.974417509027667</v>
      </c>
    </row>
    <row r="338" spans="2:6">
      <c r="B338" s="1570">
        <v>42705</v>
      </c>
      <c r="C338" s="1571">
        <v>661.30399999999997</v>
      </c>
      <c r="D338" s="1571">
        <v>4775.7</v>
      </c>
      <c r="E338" s="1571">
        <v>1.0112331468569866</v>
      </c>
      <c r="F338" s="1571">
        <v>47.502088039427981</v>
      </c>
    </row>
    <row r="339" spans="2:6">
      <c r="B339" s="1570">
        <v>42736</v>
      </c>
      <c r="C339" s="1571">
        <v>665.54200000000003</v>
      </c>
      <c r="D339" s="1571">
        <v>4793.8500000000004</v>
      </c>
      <c r="E339" s="1571">
        <v>1.0108612048503447</v>
      </c>
      <c r="F339" s="1571">
        <v>48.018017948443315</v>
      </c>
    </row>
    <row r="340" spans="2:6">
      <c r="B340" s="1570">
        <v>42767</v>
      </c>
      <c r="C340" s="1571">
        <v>666.09900000000005</v>
      </c>
      <c r="D340" s="1571">
        <v>4809.67</v>
      </c>
      <c r="E340" s="1571">
        <v>1.0086508422083289</v>
      </c>
      <c r="F340" s="1571">
        <v>48.433414244872004</v>
      </c>
    </row>
    <row r="341" spans="2:6">
      <c r="B341" s="1570">
        <v>42795</v>
      </c>
      <c r="C341" s="1571">
        <v>666.197</v>
      </c>
      <c r="D341" s="1571">
        <v>4821.6899999999996</v>
      </c>
      <c r="E341" s="1571">
        <v>1.0105205646045978</v>
      </c>
      <c r="F341" s="1571">
        <v>48.94296110845643</v>
      </c>
    </row>
    <row r="342" spans="2:6">
      <c r="B342" s="1570">
        <v>42826</v>
      </c>
      <c r="C342" s="1571">
        <v>658.89800000000002</v>
      </c>
      <c r="D342" s="1571">
        <v>4828.4399999999996</v>
      </c>
      <c r="E342" s="1571">
        <v>1.0078658059100756</v>
      </c>
      <c r="F342" s="1571">
        <v>49.327936941199923</v>
      </c>
    </row>
    <row r="343" spans="2:6">
      <c r="B343" s="1570">
        <v>42856</v>
      </c>
      <c r="C343" s="1571">
        <v>652.75800000000004</v>
      </c>
      <c r="D343" s="1571">
        <v>4843.41</v>
      </c>
      <c r="E343" s="1571">
        <v>1.0092713189779878</v>
      </c>
      <c r="F343" s="1571">
        <v>49.785271979107854</v>
      </c>
    </row>
    <row r="344" spans="2:6">
      <c r="B344" s="1570">
        <v>42887</v>
      </c>
      <c r="C344" s="1571">
        <v>648.40899999999999</v>
      </c>
      <c r="D344" s="1571">
        <v>4832.2700000000004</v>
      </c>
      <c r="E344" s="1571">
        <v>1.0080886926571575</v>
      </c>
      <c r="F344" s="1571">
        <v>50.187969742999854</v>
      </c>
    </row>
    <row r="345" spans="2:6">
      <c r="B345" s="1570">
        <v>42917</v>
      </c>
      <c r="C345" s="1571">
        <v>643.76599999999996</v>
      </c>
      <c r="D345" s="1571">
        <v>4843.87</v>
      </c>
      <c r="E345" s="1571">
        <v>1.0079792299470567</v>
      </c>
      <c r="F345" s="1571">
        <v>50.588431094155176</v>
      </c>
    </row>
    <row r="346" spans="2:6">
      <c r="B346" s="1570">
        <v>42948</v>
      </c>
      <c r="C346" s="1571">
        <v>644.38300000000004</v>
      </c>
      <c r="D346" s="1571">
        <v>4853.07</v>
      </c>
      <c r="E346" s="1571">
        <v>1.0080228940119034</v>
      </c>
      <c r="F346" s="1571">
        <v>50.994296715052059</v>
      </c>
    </row>
    <row r="347" spans="2:6">
      <c r="B347" s="1570">
        <v>42979</v>
      </c>
      <c r="C347" s="1571">
        <v>647.4</v>
      </c>
      <c r="D347" s="1571">
        <v>4860.83</v>
      </c>
      <c r="E347" s="1571">
        <v>1.0063846003708505</v>
      </c>
      <c r="F347" s="1571">
        <v>51.319874920770239</v>
      </c>
    </row>
    <row r="348" spans="2:6">
      <c r="B348" s="1570">
        <v>43009</v>
      </c>
      <c r="C348" s="1571">
        <v>648.67200000000003</v>
      </c>
      <c r="D348" s="1571">
        <v>4881.25</v>
      </c>
      <c r="E348" s="1571">
        <v>1.0064393014601032</v>
      </c>
      <c r="F348" s="1571">
        <v>51.650339066279869</v>
      </c>
    </row>
    <row r="349" spans="2:6">
      <c r="B349" s="1570">
        <v>43040</v>
      </c>
      <c r="C349" s="1571">
        <v>652.07299999999998</v>
      </c>
      <c r="D349" s="1571">
        <v>4894.92</v>
      </c>
      <c r="E349" s="1571">
        <v>1.0056818783789492</v>
      </c>
      <c r="F349" s="1571">
        <v>51.943810011085958</v>
      </c>
    </row>
    <row r="350" spans="2:6">
      <c r="B350" s="1570">
        <v>43070</v>
      </c>
      <c r="C350" s="1571">
        <v>657.85900000000004</v>
      </c>
      <c r="D350" s="1571">
        <v>4916.46</v>
      </c>
      <c r="E350" s="1571">
        <v>1.0053840004998948</v>
      </c>
      <c r="F350" s="1571">
        <v>52.223475510152085</v>
      </c>
    </row>
    <row r="351" spans="2:6">
      <c r="B351" s="1570">
        <v>43101</v>
      </c>
      <c r="C351" s="1571">
        <v>662.82600000000002</v>
      </c>
      <c r="D351" s="1571">
        <v>4930.72</v>
      </c>
      <c r="E351" s="1571">
        <v>1.0058420473548675</v>
      </c>
      <c r="F351" s="1571">
        <v>52.528567527118156</v>
      </c>
    </row>
    <row r="352" spans="2:6">
      <c r="B352" s="1570">
        <v>43132</v>
      </c>
      <c r="C352" s="1571">
        <v>663.31100000000004</v>
      </c>
      <c r="D352" s="1571">
        <v>4946.5</v>
      </c>
      <c r="E352" s="1571">
        <v>1.0046560161193037</v>
      </c>
      <c r="F352" s="1571">
        <v>52.773141384248348</v>
      </c>
    </row>
    <row r="353" spans="2:9">
      <c r="B353" s="1570">
        <v>43160</v>
      </c>
      <c r="C353" s="1571">
        <v>667.524</v>
      </c>
      <c r="D353" s="1571">
        <v>4950.95</v>
      </c>
      <c r="E353" s="1571">
        <v>1.0053234480536677</v>
      </c>
      <c r="F353" s="1571">
        <v>53.054076461036253</v>
      </c>
    </row>
    <row r="354" spans="2:9">
      <c r="B354" s="1570">
        <v>43191</v>
      </c>
      <c r="C354" s="1571">
        <v>671.327</v>
      </c>
      <c r="D354" s="1571">
        <v>4961.84</v>
      </c>
      <c r="E354" s="1571">
        <v>1.0051829489023658</v>
      </c>
      <c r="F354" s="1571">
        <v>53.329053028396011</v>
      </c>
    </row>
    <row r="355" spans="2:9">
      <c r="B355" s="1570">
        <v>43221</v>
      </c>
      <c r="C355" s="1571">
        <v>680.57899999999995</v>
      </c>
      <c r="D355" s="1571">
        <v>4981.6899999999996</v>
      </c>
      <c r="E355" s="1571">
        <v>1.0051829489023656</v>
      </c>
      <c r="F355" s="1571">
        <v>53.605454785253734</v>
      </c>
      <c r="G355" s="505"/>
    </row>
    <row r="356" spans="2:9">
      <c r="B356" s="1570">
        <v>43252</v>
      </c>
      <c r="C356" s="1571">
        <v>693.28700000000003</v>
      </c>
      <c r="D356" s="1571">
        <v>5044.46</v>
      </c>
      <c r="E356" s="1571">
        <v>1.0051829489023654</v>
      </c>
      <c r="F356" s="1571">
        <v>53.88328911829376</v>
      </c>
      <c r="G356" s="10"/>
      <c r="I356" s="10"/>
    </row>
    <row r="357" spans="2:9">
      <c r="B357" s="1570">
        <v>43282</v>
      </c>
      <c r="C357" s="1571">
        <v>696.8</v>
      </c>
      <c r="D357" s="1571">
        <v>5061.1099999999997</v>
      </c>
      <c r="E357" s="1571">
        <v>1.0054304249443857</v>
      </c>
      <c r="F357" s="1571">
        <v>54.175898275607288</v>
      </c>
      <c r="G357" s="10"/>
    </row>
    <row r="358" spans="2:9">
      <c r="B358" s="1570">
        <v>43313</v>
      </c>
      <c r="C358" s="1571">
        <v>701.67700000000002</v>
      </c>
      <c r="D358" s="1571">
        <v>5056.5600000000004</v>
      </c>
      <c r="E358" s="1571">
        <v>1.0056779619150069</v>
      </c>
      <c r="F358" s="1571">
        <v>54.483506962727475</v>
      </c>
    </row>
    <row r="359" spans="2:9">
      <c r="B359" s="1570">
        <v>43344</v>
      </c>
      <c r="C359" s="1571">
        <v>712.37300000000005</v>
      </c>
      <c r="D359" s="1571">
        <v>5080.83</v>
      </c>
      <c r="E359" s="1571">
        <v>1.0046881795441467</v>
      </c>
      <c r="F359" s="1571">
        <v>54.738935425563504</v>
      </c>
    </row>
    <row r="360" spans="2:9">
      <c r="B360" s="1570">
        <v>43374</v>
      </c>
      <c r="C360" s="1571">
        <v>718.68399999999997</v>
      </c>
      <c r="D360" s="1571">
        <v>5103.6899999999996</v>
      </c>
      <c r="E360" s="1571">
        <v>1.0054304249443855</v>
      </c>
      <c r="F360" s="1571">
        <v>55.036191105927593</v>
      </c>
    </row>
    <row r="361" spans="2:9">
      <c r="B361" s="1570">
        <v>43405</v>
      </c>
      <c r="C361" s="1571">
        <v>715.16600000000005</v>
      </c>
      <c r="D361" s="1571">
        <v>5092.97</v>
      </c>
      <c r="E361" s="1571">
        <v>1.0049355337739507</v>
      </c>
      <c r="F361" s="1571">
        <v>55.307824085920508</v>
      </c>
    </row>
    <row r="362" spans="2:9">
      <c r="B362" s="1570">
        <v>43435</v>
      </c>
      <c r="C362" s="1571">
        <v>707.44100000000003</v>
      </c>
      <c r="D362" s="1571">
        <v>5100.6099999999997</v>
      </c>
      <c r="E362" s="1571">
        <v>1.0049355337739507</v>
      </c>
      <c r="F362" s="1571">
        <v>55.580797719660296</v>
      </c>
    </row>
    <row r="363" spans="2:9">
      <c r="B363" s="1570">
        <v>43466</v>
      </c>
      <c r="C363" s="1571">
        <v>707.48800000000006</v>
      </c>
      <c r="D363" s="1571">
        <v>5116.93</v>
      </c>
      <c r="E363" s="1571">
        <v>1.0054304249443855</v>
      </c>
      <c r="F363" s="1571">
        <v>55.882625070025988</v>
      </c>
    </row>
    <row r="364" spans="2:9">
      <c r="B364" s="1570">
        <v>43497</v>
      </c>
      <c r="C364" s="1571">
        <v>713.74699999999996</v>
      </c>
      <c r="D364" s="1571">
        <v>5138.93</v>
      </c>
      <c r="E364" s="1571">
        <v>1.0049355337739507</v>
      </c>
      <c r="F364" s="1571">
        <v>56.158435653436129</v>
      </c>
    </row>
    <row r="365" spans="2:9">
      <c r="B365" s="1570">
        <v>43525</v>
      </c>
      <c r="C365" s="1571">
        <v>722.70699999999999</v>
      </c>
      <c r="D365" s="1571">
        <v>5177.47</v>
      </c>
      <c r="E365" s="1571">
        <v>1.0046881795441467</v>
      </c>
      <c r="F365" s="1571">
        <v>56.421716482697846</v>
      </c>
    </row>
    <row r="366" spans="2:9">
      <c r="B366" s="1570">
        <v>43556</v>
      </c>
      <c r="C366" s="1571">
        <v>729.346</v>
      </c>
      <c r="D366" s="1571">
        <v>5206.9799999999996</v>
      </c>
      <c r="E366" s="1571">
        <v>1.0051829489023654</v>
      </c>
      <c r="F366" s="1571">
        <v>56.714147356211413</v>
      </c>
    </row>
    <row r="367" spans="2:9">
      <c r="B367" s="1570">
        <v>43586</v>
      </c>
      <c r="C367" s="1571">
        <v>732.59500000000003</v>
      </c>
      <c r="D367" s="1571">
        <v>5213.75</v>
      </c>
      <c r="E367" s="1571">
        <v>1.0054304249443855</v>
      </c>
      <c r="F367" s="1571">
        <v>57.022129276714139</v>
      </c>
    </row>
    <row r="368" spans="2:9">
      <c r="B368" s="1570">
        <v>43617</v>
      </c>
      <c r="C368" s="1571">
        <v>738.42100000000005</v>
      </c>
      <c r="D368" s="1571">
        <v>5214.2700000000004</v>
      </c>
      <c r="E368" s="1571">
        <v>1.0046881795441465</v>
      </c>
      <c r="F368" s="1571">
        <v>57.289459256752906</v>
      </c>
    </row>
    <row r="369" spans="2:6">
      <c r="B369" s="1570">
        <v>43647</v>
      </c>
      <c r="C369" s="1571">
        <v>741.346</v>
      </c>
      <c r="D369" s="1571">
        <v>5224.18</v>
      </c>
      <c r="E369" s="1571">
        <v>1.0056779619150069</v>
      </c>
      <c r="F369" s="1571">
        <v>57.61474662454409</v>
      </c>
    </row>
    <row r="370" spans="2:6">
      <c r="B370" s="1570">
        <v>43678</v>
      </c>
      <c r="C370" s="1571">
        <v>736.40200000000004</v>
      </c>
      <c r="D370" s="1571">
        <v>5229.93</v>
      </c>
      <c r="E370" s="1571">
        <v>1.0050171948996307</v>
      </c>
      <c r="F370" s="1571">
        <v>57.903811037452265</v>
      </c>
    </row>
    <row r="371" spans="2:6">
      <c r="B371" s="1570">
        <v>43709</v>
      </c>
      <c r="C371" s="1571">
        <v>736.36199999999997</v>
      </c>
      <c r="D371" s="1571">
        <v>5227.84</v>
      </c>
      <c r="E371" s="1571">
        <v>1.0046375999081099</v>
      </c>
      <c r="F371" s="1571">
        <v>58.172345746198765</v>
      </c>
    </row>
    <row r="372" spans="2:6">
      <c r="B372" s="1570">
        <v>43739</v>
      </c>
      <c r="C372" s="1571">
        <v>741.33299999999997</v>
      </c>
      <c r="D372" s="1571">
        <v>5233.07</v>
      </c>
      <c r="E372" s="1571">
        <v>1.0047926409835022</v>
      </c>
      <c r="F372" s="1571">
        <v>58.451144914528456</v>
      </c>
    </row>
    <row r="373" spans="2:6">
      <c r="B373" s="1570">
        <v>43770</v>
      </c>
      <c r="C373" s="1571">
        <v>743.55799999999999</v>
      </c>
      <c r="D373" s="1571">
        <v>5259.76</v>
      </c>
      <c r="E373" s="1571">
        <v>1.0038038559813272</v>
      </c>
      <c r="F373" s="1571">
        <v>58.673484651727009</v>
      </c>
    </row>
    <row r="374" spans="2:6">
      <c r="B374" s="1570">
        <v>43800</v>
      </c>
      <c r="C374" s="1571">
        <v>759.11199999999997</v>
      </c>
      <c r="D374" s="1571">
        <v>5320.25</v>
      </c>
      <c r="E374" s="1571">
        <v>1.0037470387078873</v>
      </c>
      <c r="F374" s="1571">
        <v>58.893336469843661</v>
      </c>
    </row>
    <row r="375" spans="2:6">
      <c r="B375" s="1570">
        <v>43831</v>
      </c>
      <c r="C375" s="1571">
        <v>762.73299999999995</v>
      </c>
      <c r="D375" s="1571">
        <v>5331.42</v>
      </c>
      <c r="E375" s="1571">
        <v>1.00376633367529</v>
      </c>
      <c r="F375" s="1571">
        <v>59.115148426240218</v>
      </c>
    </row>
    <row r="376" spans="2:6">
      <c r="B376" s="1570">
        <v>43862</v>
      </c>
      <c r="C376" s="1571">
        <v>762.423</v>
      </c>
      <c r="D376" s="1571">
        <v>5344.75</v>
      </c>
      <c r="E376" s="1571">
        <v>1.0029372863155552</v>
      </c>
      <c r="F376" s="1571">
        <v>59.288786542754629</v>
      </c>
    </row>
    <row r="377" spans="2:6">
      <c r="B377" s="1570">
        <v>43891</v>
      </c>
      <c r="C377" s="1571">
        <v>771.90800000000002</v>
      </c>
      <c r="D377" s="1571">
        <v>5348.49</v>
      </c>
      <c r="E377" s="1571">
        <v>1.0033836914846632</v>
      </c>
      <c r="F377" s="1571">
        <v>59.489401504915364</v>
      </c>
    </row>
    <row r="378" spans="2:6">
      <c r="B378" s="1570">
        <v>43922</v>
      </c>
      <c r="C378" s="1571">
        <v>778.101</v>
      </c>
      <c r="D378" s="1571">
        <v>5331.91</v>
      </c>
      <c r="E378" s="1571">
        <v>1.0028492490278405</v>
      </c>
      <c r="F378" s="1571">
        <v>59.658901624320052</v>
      </c>
    </row>
    <row r="379" spans="2:6">
      <c r="B379" s="1570">
        <v>43952</v>
      </c>
      <c r="C379" s="1571">
        <v>780.28</v>
      </c>
      <c r="D379" s="1571">
        <v>5311.65</v>
      </c>
      <c r="E379" s="1571">
        <v>1.0023580961930716</v>
      </c>
      <c r="F379" s="1571">
        <v>59.799583053123193</v>
      </c>
    </row>
    <row r="380" spans="2:6">
      <c r="B380" s="1570">
        <v>43983</v>
      </c>
      <c r="C380" s="1571">
        <v>792.42899999999997</v>
      </c>
      <c r="D380" s="1571">
        <v>5325.46</v>
      </c>
      <c r="E380" s="1571">
        <v>1.0021233217736718</v>
      </c>
      <c r="F380" s="1571">
        <v>59.926556809876388</v>
      </c>
    </row>
    <row r="381" spans="2:6">
      <c r="B381" s="1570">
        <v>44013</v>
      </c>
      <c r="C381" s="1571">
        <v>810.08299999999997</v>
      </c>
      <c r="D381" s="1571">
        <v>5344.63</v>
      </c>
      <c r="E381" s="1571">
        <v>1.0019434641302636</v>
      </c>
      <c r="F381" s="1571">
        <v>60.043021923486585</v>
      </c>
    </row>
    <row r="382" spans="2:6">
      <c r="B382" s="1570">
        <v>44044</v>
      </c>
      <c r="C382" s="1571">
        <v>832.31299999999999</v>
      </c>
      <c r="D382" s="1571">
        <v>5357.46</v>
      </c>
      <c r="E382" s="1571">
        <v>1.0015988959789295</v>
      </c>
      <c r="F382" s="1571">
        <v>60.13902446980282</v>
      </c>
    </row>
    <row r="383" spans="2:6">
      <c r="B383" s="1570">
        <v>44075</v>
      </c>
      <c r="C383" s="1571">
        <v>868.44200000000001</v>
      </c>
      <c r="D383" s="1571">
        <v>5391.75</v>
      </c>
      <c r="E383" s="1571">
        <v>1.0015696620595307</v>
      </c>
      <c r="F383" s="1571">
        <v>60.233422414810256</v>
      </c>
    </row>
    <row r="384" spans="2:6">
      <c r="B384" s="1570">
        <v>44105</v>
      </c>
      <c r="C384" s="1571">
        <v>896.505</v>
      </c>
      <c r="D384" s="1571">
        <v>5438.12</v>
      </c>
      <c r="E384" s="1571">
        <v>1.00156966205953</v>
      </c>
      <c r="F384" s="1571">
        <v>60.327968532690427</v>
      </c>
    </row>
    <row r="385" spans="2:6">
      <c r="B385" s="1570">
        <v>44136</v>
      </c>
      <c r="C385" s="1571">
        <v>925.88699999999994</v>
      </c>
      <c r="D385" s="1571">
        <v>5486.52</v>
      </c>
      <c r="E385" s="1571">
        <v>1.0014948604084073</v>
      </c>
      <c r="F385" s="1571">
        <v>60.418150424369585</v>
      </c>
    </row>
    <row r="386" spans="2:6">
      <c r="B386" s="1570">
        <v>44166</v>
      </c>
      <c r="C386" s="1571">
        <v>934.75800000000004</v>
      </c>
      <c r="D386" s="1571">
        <v>5560.59</v>
      </c>
      <c r="E386" s="1571">
        <v>1.0016444692975899</v>
      </c>
      <c r="F386" s="1571">
        <v>60.517506217759632</v>
      </c>
    </row>
    <row r="387" spans="2:6">
      <c r="B387" s="1570">
        <v>44197</v>
      </c>
      <c r="C387" s="1571">
        <v>958.84400000000005</v>
      </c>
      <c r="D387" s="1571">
        <v>5574.49</v>
      </c>
      <c r="E387" s="1571">
        <v>1.0014948604084077</v>
      </c>
      <c r="F387" s="1571">
        <v>60.607971441820126</v>
      </c>
    </row>
    <row r="388" spans="2:6">
      <c r="B388" s="1570">
        <v>44228</v>
      </c>
      <c r="C388" s="1571">
        <v>983.06299999999999</v>
      </c>
      <c r="D388" s="1571">
        <v>5622.43</v>
      </c>
      <c r="E388" s="1571">
        <v>1.0013452738652961</v>
      </c>
      <c r="F388" s="1571">
        <v>60.689505761829423</v>
      </c>
    </row>
    <row r="389" spans="2:6">
      <c r="B389" s="1570">
        <v>44256</v>
      </c>
      <c r="C389" s="1571">
        <v>1011.948</v>
      </c>
      <c r="D389" s="1571">
        <v>5674.72</v>
      </c>
      <c r="E389" s="1571">
        <v>1.0020107988327946</v>
      </c>
      <c r="F389" s="1571">
        <v>60.811540149178192</v>
      </c>
    </row>
    <row r="390" spans="2:6">
      <c r="B390" s="1570">
        <v>44287</v>
      </c>
      <c r="C390" s="1571">
        <v>1027.211</v>
      </c>
      <c r="D390" s="1571">
        <v>5692.31</v>
      </c>
      <c r="E390" s="1571">
        <v>1.0020778480243349</v>
      </c>
      <c r="F390" s="1571">
        <v>60.937897287733925</v>
      </c>
    </row>
    <row r="391" spans="2:6">
      <c r="B391" s="1570">
        <v>44317</v>
      </c>
      <c r="C391" s="1571">
        <v>1069.289</v>
      </c>
      <c r="D391" s="1571">
        <v>5739.56</v>
      </c>
      <c r="E391" s="1571">
        <v>1.0027032626398216</v>
      </c>
      <c r="F391" s="1571">
        <v>61.102628428821141</v>
      </c>
    </row>
    <row r="392" spans="2:6">
      <c r="B392" s="1570">
        <v>44348</v>
      </c>
      <c r="C392" s="1571">
        <v>1075.7329999999999</v>
      </c>
      <c r="D392" s="1571">
        <v>5769.98</v>
      </c>
      <c r="E392" s="1571">
        <v>1.0030777896833167</v>
      </c>
      <c r="F392" s="1571">
        <v>61.290689468222901</v>
      </c>
    </row>
    <row r="393" spans="2:6">
      <c r="B393" s="1570">
        <v>44378</v>
      </c>
      <c r="C393" s="1571">
        <v>1084.095</v>
      </c>
      <c r="D393" s="1571">
        <v>5825.37</v>
      </c>
      <c r="E393" s="1571">
        <v>1.003556161780192</v>
      </c>
      <c r="F393" s="1571">
        <v>61.508649075591414</v>
      </c>
    </row>
    <row r="394" spans="2:6">
      <c r="B394" s="1570">
        <v>44409</v>
      </c>
      <c r="C394" s="1571">
        <v>1091.29</v>
      </c>
      <c r="D394" s="1571">
        <v>5876.05</v>
      </c>
      <c r="E394" s="1571">
        <v>1.0042795247734253</v>
      </c>
      <c r="F394" s="1571">
        <v>61.771876863090334</v>
      </c>
    </row>
    <row r="395" spans="2:6">
      <c r="B395" s="1570">
        <v>44440</v>
      </c>
      <c r="C395" s="1571">
        <v>1084.3119999999999</v>
      </c>
      <c r="D395" s="1571">
        <v>5944.21</v>
      </c>
      <c r="E395" s="1571">
        <v>1.0044199933223523</v>
      </c>
      <c r="F395" s="1571">
        <v>62.044908146334365</v>
      </c>
    </row>
    <row r="396" spans="2:6">
      <c r="B396" s="1570">
        <v>44470</v>
      </c>
      <c r="C396" s="1571">
        <v>1091.2829999999999</v>
      </c>
      <c r="D396" s="1571">
        <v>6018.51</v>
      </c>
      <c r="E396" s="1571">
        <v>1.0048599610251685</v>
      </c>
      <c r="F396" s="1571">
        <v>62.34644398173571</v>
      </c>
    </row>
    <row r="397" spans="2:6">
      <c r="B397" s="1570">
        <v>44501</v>
      </c>
      <c r="C397" s="1571">
        <v>1091.4829999999999</v>
      </c>
      <c r="D397" s="1571">
        <v>6075.69</v>
      </c>
      <c r="E397" s="1571">
        <v>1.0058674909390046</v>
      </c>
      <c r="F397" s="1571">
        <v>62.712261176877703</v>
      </c>
    </row>
    <row r="398" spans="2:6">
      <c r="B398" s="1570">
        <v>44531</v>
      </c>
      <c r="C398" s="1571">
        <v>1100.9880000000001</v>
      </c>
      <c r="D398" s="1571">
        <v>6120.04</v>
      </c>
      <c r="E398" s="1571">
        <v>1.0076908308186336</v>
      </c>
      <c r="F398" s="1571">
        <v>63.194570567843037</v>
      </c>
    </row>
    <row r="399" spans="2:6">
      <c r="B399" s="1570">
        <v>44562</v>
      </c>
      <c r="C399" s="1571">
        <v>1120.999</v>
      </c>
      <c r="D399" s="1571">
        <v>6153.09</v>
      </c>
      <c r="E399" s="1571">
        <v>1.0073227032460901</v>
      </c>
      <c r="F399" s="1571">
        <v>63.65732565487545</v>
      </c>
    </row>
    <row r="400" spans="2:6">
      <c r="B400" s="1570">
        <v>44593</v>
      </c>
      <c r="C400" s="1571">
        <v>1141.546</v>
      </c>
      <c r="D400" s="1571">
        <v>6215.24</v>
      </c>
      <c r="E400" s="1571">
        <v>1.0075504098703885</v>
      </c>
      <c r="F400" s="1571">
        <v>64.13796455482256</v>
      </c>
    </row>
    <row r="401" spans="2:6">
      <c r="B401" s="1570">
        <v>44621</v>
      </c>
      <c r="C401" s="1571">
        <v>1161.4179999999999</v>
      </c>
      <c r="D401" s="1571">
        <v>6315.93</v>
      </c>
      <c r="E401" s="1571">
        <v>1.0092705386289318</v>
      </c>
      <c r="F401" s="1571">
        <v>64.732558032809095</v>
      </c>
    </row>
    <row r="402" spans="2:6">
      <c r="B402" s="1570">
        <v>44652</v>
      </c>
      <c r="C402" s="1571">
        <v>1177.809</v>
      </c>
      <c r="D402" s="1571">
        <v>6382.88</v>
      </c>
      <c r="E402" s="1571">
        <v>1.0083432052372134</v>
      </c>
      <c r="F402" s="1571">
        <v>65.272635050006656</v>
      </c>
    </row>
    <row r="403" spans="2:6">
      <c r="B403" s="1570">
        <v>44682</v>
      </c>
      <c r="C403" s="1571">
        <v>1185.8075009189999</v>
      </c>
      <c r="D403" s="1571">
        <v>6399.9988841600007</v>
      </c>
      <c r="E403" s="1571">
        <v>1.0103459230153136</v>
      </c>
      <c r="F403" s="1571">
        <v>65.947940707240676</v>
      </c>
    </row>
    <row r="404" spans="2:6">
      <c r="B404" s="1570">
        <v>44713</v>
      </c>
      <c r="C404" s="1571">
        <v>1193.2840172122942</v>
      </c>
      <c r="D404" s="1571">
        <v>6427.0772794388822</v>
      </c>
      <c r="E404" s="1571">
        <v>1.0099756722384827</v>
      </c>
      <c r="F404" s="1571">
        <v>66.605815748539001</v>
      </c>
    </row>
    <row r="405" spans="2:6">
      <c r="B405" s="1570">
        <v>44743</v>
      </c>
      <c r="C405" s="1571">
        <v>1199.4783545456432</v>
      </c>
      <c r="D405" s="1571">
        <v>6462.3876420121205</v>
      </c>
      <c r="E405" s="1571">
        <v>1.0099756722384829</v>
      </c>
      <c r="F405" s="1571">
        <v>67.270253535623212</v>
      </c>
    </row>
    <row r="406" spans="2:6">
      <c r="B406" s="1570">
        <v>44774</v>
      </c>
      <c r="C406" s="1571">
        <v>1205.6760592035805</v>
      </c>
      <c r="D406" s="1571">
        <v>6485.7039366245008</v>
      </c>
      <c r="E406" s="1571">
        <v>1.0109309107948876</v>
      </c>
      <c r="F406" s="1571">
        <v>68.005578676170586</v>
      </c>
    </row>
    <row r="407" spans="2:6">
      <c r="B407" s="1570">
        <v>44805</v>
      </c>
      <c r="C407" s="1571">
        <v>1212.7967820092367</v>
      </c>
      <c r="D407" s="1571">
        <v>6512.3861226197732</v>
      </c>
      <c r="E407" s="1571">
        <v>1.0099756722384823</v>
      </c>
      <c r="F407" s="1571">
        <v>68.683980039432385</v>
      </c>
    </row>
    <row r="408" spans="2:6">
      <c r="B408" s="1570">
        <v>44835</v>
      </c>
      <c r="C408" s="1571">
        <v>1220.0444555785239</v>
      </c>
      <c r="D408" s="1571">
        <v>6542.4538093479096</v>
      </c>
      <c r="E408" s="1571">
        <v>1.0094983914939686</v>
      </c>
      <c r="F408" s="1571">
        <v>69.336367371210841</v>
      </c>
    </row>
    <row r="409" spans="2:6">
      <c r="B409" s="1570">
        <v>44866</v>
      </c>
      <c r="C409" s="1571">
        <v>1227.463545912897</v>
      </c>
      <c r="D409" s="1571">
        <v>6572.8107950232834</v>
      </c>
      <c r="E409" s="1571">
        <v>1.0094983914939686</v>
      </c>
      <c r="F409" s="1571">
        <v>69.994951333272226</v>
      </c>
    </row>
    <row r="410" spans="2:6">
      <c r="B410" s="1570">
        <v>44896</v>
      </c>
      <c r="C410" s="1571">
        <v>1234.805005381002</v>
      </c>
      <c r="D410" s="1571">
        <v>6614.3312408154452</v>
      </c>
      <c r="E410" s="1571">
        <v>1.0104531786365607</v>
      </c>
      <c r="F410" s="1571">
        <v>70.726621063216299</v>
      </c>
    </row>
    <row r="411" spans="2:6">
      <c r="B411" s="1570">
        <v>44927</v>
      </c>
      <c r="C411" s="1571">
        <v>1240.6443982514488</v>
      </c>
      <c r="D411" s="1571">
        <v>6645.6368705782252</v>
      </c>
      <c r="E411" s="1571">
        <v>1.0104531786365603</v>
      </c>
      <c r="F411" s="1571">
        <v>71.465939067550408</v>
      </c>
    </row>
    <row r="412" spans="2:6">
      <c r="B412" s="1570">
        <v>44958</v>
      </c>
      <c r="C412" s="1571">
        <v>1245.3960662967518</v>
      </c>
      <c r="D412" s="1571">
        <v>6678.964739484175</v>
      </c>
      <c r="E412" s="1571">
        <v>1.0085445065391345</v>
      </c>
      <c r="F412" s="1571">
        <v>72.076580251238482</v>
      </c>
    </row>
    <row r="413" spans="2:6">
      <c r="B413" s="1570">
        <v>44986</v>
      </c>
      <c r="C413" s="1571">
        <v>1249.9691606521933</v>
      </c>
      <c r="D413" s="1571">
        <v>6703.7503776324011</v>
      </c>
      <c r="E413" s="1571">
        <v>1.0109309107948878</v>
      </c>
      <c r="F413" s="1571">
        <v>72.864442920365349</v>
      </c>
    </row>
    <row r="414" spans="2:6">
      <c r="B414" s="1570">
        <v>45017</v>
      </c>
      <c r="C414" s="1571">
        <v>1253.9940613494934</v>
      </c>
      <c r="D414" s="1571">
        <v>6728.6883290371934</v>
      </c>
      <c r="E414" s="1571">
        <v>1.0085445065391345</v>
      </c>
      <c r="F414" s="1571">
        <v>73.48703362936881</v>
      </c>
    </row>
    <row r="415" spans="2:6">
      <c r="B415" s="1570">
        <v>45047</v>
      </c>
      <c r="C415" s="1571">
        <v>1257.6118342164868</v>
      </c>
      <c r="D415" s="1571">
        <v>6746.6471981873938</v>
      </c>
      <c r="E415" s="1571">
        <v>1.0104531786365605</v>
      </c>
      <c r="F415" s="1571">
        <v>74.255206719367536</v>
      </c>
    </row>
    <row r="416" spans="2:6">
      <c r="B416" s="1570">
        <v>45078</v>
      </c>
      <c r="C416" s="1571" t="e">
        <v>#N/A</v>
      </c>
      <c r="D416" s="1571" t="e">
        <v>#N/A</v>
      </c>
      <c r="E416" s="1571" t="e">
        <v>#N/A</v>
      </c>
      <c r="F416" s="1571" t="e">
        <f t="shared" ref="F416:F419" si="0">F415*E416</f>
        <v>#N/A</v>
      </c>
    </row>
    <row r="417" spans="2:6">
      <c r="B417" s="1570">
        <v>45108</v>
      </c>
      <c r="C417" s="1571" t="e">
        <v>#N/A</v>
      </c>
      <c r="D417" s="1571" t="e">
        <v>#N/A</v>
      </c>
      <c r="E417" s="1571" t="e">
        <v>#N/A</v>
      </c>
      <c r="F417" s="1571" t="e">
        <f t="shared" si="0"/>
        <v>#N/A</v>
      </c>
    </row>
    <row r="418" spans="2:6">
      <c r="B418" s="1570">
        <v>45139</v>
      </c>
      <c r="C418" s="1571" t="e">
        <v>#N/A</v>
      </c>
      <c r="D418" s="1571" t="e">
        <v>#N/A</v>
      </c>
      <c r="E418" s="1571" t="e">
        <v>#N/A</v>
      </c>
      <c r="F418" s="1571" t="e">
        <f t="shared" si="0"/>
        <v>#N/A</v>
      </c>
    </row>
    <row r="419" spans="2:6">
      <c r="B419" s="1570">
        <v>45170</v>
      </c>
      <c r="C419" s="1571" t="e">
        <v>#N/A</v>
      </c>
      <c r="D419" s="1571" t="e">
        <v>#N/A</v>
      </c>
      <c r="E419" s="1571" t="e">
        <v>#N/A</v>
      </c>
      <c r="F419" s="1571" t="e">
        <f t="shared" si="0"/>
        <v>#N/A</v>
      </c>
    </row>
    <row r="420" spans="2:6">
      <c r="B420" s="1570">
        <v>45200</v>
      </c>
      <c r="C420" s="1571" t="e">
        <v>#N/A</v>
      </c>
      <c r="D420" s="1571" t="e">
        <v>#N/A</v>
      </c>
      <c r="E420" s="1571" t="e">
        <v>#N/A</v>
      </c>
      <c r="F420" s="1571" t="e">
        <f t="shared" ref="F420:F483" si="1">F419*E420</f>
        <v>#N/A</v>
      </c>
    </row>
    <row r="421" spans="2:6">
      <c r="B421" s="1570">
        <v>45231</v>
      </c>
      <c r="C421" s="1571" t="e">
        <v>#N/A</v>
      </c>
      <c r="D421" s="1571" t="e">
        <v>#N/A</v>
      </c>
      <c r="E421" s="1571" t="e">
        <v>#N/A</v>
      </c>
      <c r="F421" s="1571" t="e">
        <f t="shared" si="1"/>
        <v>#N/A</v>
      </c>
    </row>
    <row r="422" spans="2:6">
      <c r="B422" s="1570">
        <v>45261</v>
      </c>
      <c r="C422" s="1571" t="e">
        <v>#N/A</v>
      </c>
      <c r="D422" s="1571" t="e">
        <v>#N/A</v>
      </c>
      <c r="E422" s="1571" t="e">
        <v>#N/A</v>
      </c>
      <c r="F422" s="1571" t="e">
        <f t="shared" si="1"/>
        <v>#N/A</v>
      </c>
    </row>
    <row r="423" spans="2:6">
      <c r="B423" s="1570">
        <v>45292</v>
      </c>
      <c r="C423" s="1571" t="e">
        <v>#N/A</v>
      </c>
      <c r="D423" s="1571" t="e">
        <v>#N/A</v>
      </c>
      <c r="E423" s="1571" t="e">
        <v>#N/A</v>
      </c>
      <c r="F423" s="1571" t="e">
        <f t="shared" si="1"/>
        <v>#N/A</v>
      </c>
    </row>
    <row r="424" spans="2:6">
      <c r="B424" s="1570">
        <v>45323</v>
      </c>
      <c r="C424" s="1571" t="e">
        <v>#N/A</v>
      </c>
      <c r="D424" s="1571" t="e">
        <v>#N/A</v>
      </c>
      <c r="E424" s="1571" t="e">
        <v>#N/A</v>
      </c>
      <c r="F424" s="1571" t="e">
        <f t="shared" si="1"/>
        <v>#N/A</v>
      </c>
    </row>
    <row r="425" spans="2:6">
      <c r="B425" s="1570">
        <v>45352</v>
      </c>
      <c r="C425" s="1571" t="e">
        <v>#N/A</v>
      </c>
      <c r="D425" s="1571" t="e">
        <v>#N/A</v>
      </c>
      <c r="E425" s="1571" t="e">
        <v>#N/A</v>
      </c>
      <c r="F425" s="1571" t="e">
        <f t="shared" si="1"/>
        <v>#N/A</v>
      </c>
    </row>
    <row r="426" spans="2:6">
      <c r="B426" s="1570">
        <v>45383</v>
      </c>
      <c r="C426" s="1571" t="e">
        <v>#N/A</v>
      </c>
      <c r="D426" s="1571" t="e">
        <v>#N/A</v>
      </c>
      <c r="E426" s="1571" t="e">
        <v>#N/A</v>
      </c>
      <c r="F426" s="1571" t="e">
        <f t="shared" si="1"/>
        <v>#N/A</v>
      </c>
    </row>
    <row r="427" spans="2:6">
      <c r="B427" s="1570">
        <v>45413</v>
      </c>
      <c r="C427" s="1571" t="e">
        <v>#N/A</v>
      </c>
      <c r="D427" s="1571" t="e">
        <v>#N/A</v>
      </c>
      <c r="E427" s="1571" t="e">
        <v>#N/A</v>
      </c>
      <c r="F427" s="1571" t="e">
        <f t="shared" si="1"/>
        <v>#N/A</v>
      </c>
    </row>
    <row r="428" spans="2:6">
      <c r="B428" s="1570">
        <v>45444</v>
      </c>
      <c r="C428" s="1571" t="e">
        <v>#N/A</v>
      </c>
      <c r="D428" s="1571" t="e">
        <v>#N/A</v>
      </c>
      <c r="E428" s="1571" t="e">
        <v>#N/A</v>
      </c>
      <c r="F428" s="1571" t="e">
        <f t="shared" si="1"/>
        <v>#N/A</v>
      </c>
    </row>
    <row r="429" spans="2:6">
      <c r="B429" s="1570">
        <v>45474</v>
      </c>
      <c r="C429" s="1571" t="e">
        <v>#N/A</v>
      </c>
      <c r="D429" s="1571" t="e">
        <v>#N/A</v>
      </c>
      <c r="E429" s="1571" t="e">
        <v>#N/A</v>
      </c>
      <c r="F429" s="1571" t="e">
        <f t="shared" si="1"/>
        <v>#N/A</v>
      </c>
    </row>
    <row r="430" spans="2:6">
      <c r="B430" s="1570">
        <v>45505</v>
      </c>
      <c r="C430" s="1571" t="e">
        <v>#N/A</v>
      </c>
      <c r="D430" s="1571" t="e">
        <v>#N/A</v>
      </c>
      <c r="E430" s="1571" t="e">
        <v>#N/A</v>
      </c>
      <c r="F430" s="1571" t="e">
        <f t="shared" si="1"/>
        <v>#N/A</v>
      </c>
    </row>
    <row r="431" spans="2:6">
      <c r="B431" s="1570">
        <v>45536</v>
      </c>
      <c r="C431" s="1571" t="e">
        <v>#N/A</v>
      </c>
      <c r="D431" s="1571" t="e">
        <v>#N/A</v>
      </c>
      <c r="E431" s="1571" t="e">
        <v>#N/A</v>
      </c>
      <c r="F431" s="1571" t="e">
        <f t="shared" si="1"/>
        <v>#N/A</v>
      </c>
    </row>
    <row r="432" spans="2:6">
      <c r="B432" s="1570">
        <v>45566</v>
      </c>
      <c r="C432" s="1571" t="e">
        <v>#N/A</v>
      </c>
      <c r="D432" s="1571" t="e">
        <v>#N/A</v>
      </c>
      <c r="E432" s="1571" t="e">
        <v>#N/A</v>
      </c>
      <c r="F432" s="1571" t="e">
        <f t="shared" si="1"/>
        <v>#N/A</v>
      </c>
    </row>
    <row r="433" spans="2:6">
      <c r="B433" s="1570">
        <v>45597</v>
      </c>
      <c r="C433" s="1571" t="e">
        <v>#N/A</v>
      </c>
      <c r="D433" s="1571" t="e">
        <v>#N/A</v>
      </c>
      <c r="E433" s="1571" t="e">
        <v>#N/A</v>
      </c>
      <c r="F433" s="1571" t="e">
        <f t="shared" si="1"/>
        <v>#N/A</v>
      </c>
    </row>
    <row r="434" spans="2:6">
      <c r="B434" s="1570">
        <v>45627</v>
      </c>
      <c r="C434" s="1571" t="e">
        <v>#N/A</v>
      </c>
      <c r="D434" s="1571" t="e">
        <v>#N/A</v>
      </c>
      <c r="E434" s="1571" t="e">
        <v>#N/A</v>
      </c>
      <c r="F434" s="1571" t="e">
        <f t="shared" si="1"/>
        <v>#N/A</v>
      </c>
    </row>
    <row r="435" spans="2:6">
      <c r="B435" s="1570">
        <v>45658</v>
      </c>
      <c r="C435" s="1571" t="e">
        <v>#N/A</v>
      </c>
      <c r="D435" s="1571" t="e">
        <v>#N/A</v>
      </c>
      <c r="E435" s="1571" t="e">
        <v>#N/A</v>
      </c>
      <c r="F435" s="1571" t="e">
        <f t="shared" si="1"/>
        <v>#N/A</v>
      </c>
    </row>
    <row r="436" spans="2:6">
      <c r="B436" s="1570">
        <v>45689</v>
      </c>
      <c r="C436" s="1571" t="e">
        <v>#N/A</v>
      </c>
      <c r="D436" s="1571" t="e">
        <v>#N/A</v>
      </c>
      <c r="E436" s="1571" t="e">
        <v>#N/A</v>
      </c>
      <c r="F436" s="1571" t="e">
        <f t="shared" si="1"/>
        <v>#N/A</v>
      </c>
    </row>
    <row r="437" spans="2:6">
      <c r="B437" s="1570">
        <v>45717</v>
      </c>
      <c r="C437" s="1571" t="e">
        <v>#N/A</v>
      </c>
      <c r="D437" s="1571" t="e">
        <v>#N/A</v>
      </c>
      <c r="E437" s="1571" t="e">
        <v>#N/A</v>
      </c>
      <c r="F437" s="1571" t="e">
        <f t="shared" si="1"/>
        <v>#N/A</v>
      </c>
    </row>
    <row r="438" spans="2:6">
      <c r="B438" s="1570">
        <v>45748</v>
      </c>
      <c r="C438" s="1571" t="e">
        <v>#N/A</v>
      </c>
      <c r="D438" s="1571" t="e">
        <v>#N/A</v>
      </c>
      <c r="E438" s="1571" t="e">
        <v>#N/A</v>
      </c>
      <c r="F438" s="1571" t="e">
        <f t="shared" si="1"/>
        <v>#N/A</v>
      </c>
    </row>
    <row r="439" spans="2:6">
      <c r="B439" s="1570">
        <v>45778</v>
      </c>
      <c r="C439" s="1571" t="e">
        <v>#N/A</v>
      </c>
      <c r="D439" s="1571" t="e">
        <v>#N/A</v>
      </c>
      <c r="E439" s="1571" t="e">
        <v>#N/A</v>
      </c>
      <c r="F439" s="1571" t="e">
        <f t="shared" si="1"/>
        <v>#N/A</v>
      </c>
    </row>
    <row r="440" spans="2:6">
      <c r="B440" s="1570">
        <v>45809</v>
      </c>
      <c r="C440" s="1571" t="e">
        <v>#N/A</v>
      </c>
      <c r="D440" s="1571" t="e">
        <v>#N/A</v>
      </c>
      <c r="E440" s="1571" t="e">
        <v>#N/A</v>
      </c>
      <c r="F440" s="1571" t="e">
        <f t="shared" si="1"/>
        <v>#N/A</v>
      </c>
    </row>
    <row r="441" spans="2:6">
      <c r="B441" s="1570">
        <v>45839</v>
      </c>
      <c r="C441" s="1571" t="e">
        <v>#N/A</v>
      </c>
      <c r="D441" s="1571" t="e">
        <v>#N/A</v>
      </c>
      <c r="E441" s="1571" t="e">
        <v>#N/A</v>
      </c>
      <c r="F441" s="1571" t="e">
        <f t="shared" si="1"/>
        <v>#N/A</v>
      </c>
    </row>
    <row r="442" spans="2:6">
      <c r="B442" s="1570">
        <v>45870</v>
      </c>
      <c r="C442" s="1571" t="e">
        <v>#N/A</v>
      </c>
      <c r="D442" s="1571" t="e">
        <v>#N/A</v>
      </c>
      <c r="E442" s="1571" t="e">
        <v>#N/A</v>
      </c>
      <c r="F442" s="1571" t="e">
        <f t="shared" si="1"/>
        <v>#N/A</v>
      </c>
    </row>
    <row r="443" spans="2:6">
      <c r="B443" s="1570">
        <v>45901</v>
      </c>
      <c r="C443" s="1571" t="e">
        <v>#N/A</v>
      </c>
      <c r="D443" s="1571" t="e">
        <v>#N/A</v>
      </c>
      <c r="E443" s="1571" t="e">
        <v>#N/A</v>
      </c>
      <c r="F443" s="1571" t="e">
        <f t="shared" si="1"/>
        <v>#N/A</v>
      </c>
    </row>
    <row r="444" spans="2:6">
      <c r="B444" s="1570">
        <v>45931</v>
      </c>
      <c r="C444" s="1571" t="e">
        <v>#N/A</v>
      </c>
      <c r="D444" s="1571" t="e">
        <v>#N/A</v>
      </c>
      <c r="E444" s="1571" t="e">
        <v>#N/A</v>
      </c>
      <c r="F444" s="1571" t="e">
        <f t="shared" si="1"/>
        <v>#N/A</v>
      </c>
    </row>
    <row r="445" spans="2:6">
      <c r="B445" s="1570">
        <v>45962</v>
      </c>
      <c r="C445" s="1571" t="e">
        <v>#N/A</v>
      </c>
      <c r="D445" s="1571" t="e">
        <v>#N/A</v>
      </c>
      <c r="E445" s="1571" t="e">
        <v>#N/A</v>
      </c>
      <c r="F445" s="1571" t="e">
        <f t="shared" si="1"/>
        <v>#N/A</v>
      </c>
    </row>
    <row r="446" spans="2:6">
      <c r="B446" s="1570">
        <v>45992</v>
      </c>
      <c r="C446" s="1571" t="e">
        <v>#N/A</v>
      </c>
      <c r="D446" s="1571" t="e">
        <v>#N/A</v>
      </c>
      <c r="E446" s="1571" t="e">
        <v>#N/A</v>
      </c>
      <c r="F446" s="1571" t="e">
        <f t="shared" si="1"/>
        <v>#N/A</v>
      </c>
    </row>
    <row r="447" spans="2:6">
      <c r="B447" s="1570">
        <v>46023</v>
      </c>
      <c r="C447" s="1571" t="e">
        <v>#N/A</v>
      </c>
      <c r="D447" s="1571" t="e">
        <v>#N/A</v>
      </c>
      <c r="E447" s="1571" t="e">
        <v>#N/A</v>
      </c>
      <c r="F447" s="1571" t="e">
        <f t="shared" si="1"/>
        <v>#N/A</v>
      </c>
    </row>
    <row r="448" spans="2:6">
      <c r="B448" s="1570">
        <v>46054</v>
      </c>
      <c r="C448" s="1571" t="e">
        <v>#N/A</v>
      </c>
      <c r="D448" s="1571" t="e">
        <v>#N/A</v>
      </c>
      <c r="E448" s="1571" t="e">
        <v>#N/A</v>
      </c>
      <c r="F448" s="1571" t="e">
        <f t="shared" si="1"/>
        <v>#N/A</v>
      </c>
    </row>
    <row r="449" spans="2:6">
      <c r="B449" s="1570">
        <v>46082</v>
      </c>
      <c r="C449" s="1571" t="e">
        <v>#N/A</v>
      </c>
      <c r="D449" s="1571" t="e">
        <v>#N/A</v>
      </c>
      <c r="E449" s="1571" t="e">
        <v>#N/A</v>
      </c>
      <c r="F449" s="1571" t="e">
        <f t="shared" si="1"/>
        <v>#N/A</v>
      </c>
    </row>
    <row r="450" spans="2:6">
      <c r="B450" s="1570">
        <v>46113</v>
      </c>
      <c r="C450" s="1571" t="e">
        <v>#N/A</v>
      </c>
      <c r="D450" s="1571" t="e">
        <v>#N/A</v>
      </c>
      <c r="E450" s="1571" t="e">
        <v>#N/A</v>
      </c>
      <c r="F450" s="1571" t="e">
        <f t="shared" si="1"/>
        <v>#N/A</v>
      </c>
    </row>
    <row r="451" spans="2:6">
      <c r="B451" s="1570">
        <v>46143</v>
      </c>
      <c r="C451" s="1571" t="e">
        <v>#N/A</v>
      </c>
      <c r="D451" s="1571" t="e">
        <v>#N/A</v>
      </c>
      <c r="E451" s="1571" t="e">
        <v>#N/A</v>
      </c>
      <c r="F451" s="1571" t="e">
        <f t="shared" si="1"/>
        <v>#N/A</v>
      </c>
    </row>
    <row r="452" spans="2:6">
      <c r="B452" s="1570">
        <v>46174</v>
      </c>
      <c r="C452" s="1571" t="e">
        <v>#N/A</v>
      </c>
      <c r="D452" s="1571" t="e">
        <v>#N/A</v>
      </c>
      <c r="E452" s="1571" t="e">
        <v>#N/A</v>
      </c>
      <c r="F452" s="1571" t="e">
        <f t="shared" si="1"/>
        <v>#N/A</v>
      </c>
    </row>
    <row r="453" spans="2:6">
      <c r="B453" s="1570">
        <v>46204</v>
      </c>
      <c r="C453" s="1571" t="e">
        <v>#N/A</v>
      </c>
      <c r="D453" s="1571" t="e">
        <v>#N/A</v>
      </c>
      <c r="E453" s="1571" t="e">
        <v>#N/A</v>
      </c>
      <c r="F453" s="1571" t="e">
        <f t="shared" si="1"/>
        <v>#N/A</v>
      </c>
    </row>
    <row r="454" spans="2:6">
      <c r="B454" s="1570">
        <v>46235</v>
      </c>
      <c r="C454" s="1571" t="e">
        <v>#N/A</v>
      </c>
      <c r="D454" s="1571" t="e">
        <v>#N/A</v>
      </c>
      <c r="E454" s="1571" t="e">
        <v>#N/A</v>
      </c>
      <c r="F454" s="1571" t="e">
        <f t="shared" si="1"/>
        <v>#N/A</v>
      </c>
    </row>
    <row r="455" spans="2:6">
      <c r="B455" s="1570">
        <v>46266</v>
      </c>
      <c r="C455" s="1571" t="e">
        <v>#N/A</v>
      </c>
      <c r="D455" s="1571" t="e">
        <v>#N/A</v>
      </c>
      <c r="E455" s="1571" t="e">
        <v>#N/A</v>
      </c>
      <c r="F455" s="1571" t="e">
        <f t="shared" si="1"/>
        <v>#N/A</v>
      </c>
    </row>
    <row r="456" spans="2:6">
      <c r="B456" s="1570">
        <v>46296</v>
      </c>
      <c r="C456" s="1571" t="e">
        <v>#N/A</v>
      </c>
      <c r="D456" s="1571" t="e">
        <v>#N/A</v>
      </c>
      <c r="E456" s="1571" t="e">
        <v>#N/A</v>
      </c>
      <c r="F456" s="1571" t="e">
        <f t="shared" si="1"/>
        <v>#N/A</v>
      </c>
    </row>
    <row r="457" spans="2:6">
      <c r="B457" s="1570">
        <v>46327</v>
      </c>
      <c r="C457" s="1571" t="e">
        <v>#N/A</v>
      </c>
      <c r="D457" s="1571" t="e">
        <v>#N/A</v>
      </c>
      <c r="E457" s="1571" t="e">
        <v>#N/A</v>
      </c>
      <c r="F457" s="1571" t="e">
        <f t="shared" si="1"/>
        <v>#N/A</v>
      </c>
    </row>
    <row r="458" spans="2:6">
      <c r="B458" s="1570">
        <v>46357</v>
      </c>
      <c r="C458" s="1571" t="e">
        <v>#N/A</v>
      </c>
      <c r="D458" s="1571" t="e">
        <v>#N/A</v>
      </c>
      <c r="E458" s="1571" t="e">
        <v>#N/A</v>
      </c>
      <c r="F458" s="1571" t="e">
        <f t="shared" si="1"/>
        <v>#N/A</v>
      </c>
    </row>
    <row r="459" spans="2:6">
      <c r="B459" s="1570">
        <v>46388</v>
      </c>
      <c r="C459" s="1571" t="e">
        <v>#N/A</v>
      </c>
      <c r="D459" s="1571" t="e">
        <v>#N/A</v>
      </c>
      <c r="E459" s="1571" t="e">
        <v>#N/A</v>
      </c>
      <c r="F459" s="1571" t="e">
        <f t="shared" si="1"/>
        <v>#N/A</v>
      </c>
    </row>
    <row r="460" spans="2:6">
      <c r="B460" s="1570">
        <v>46419</v>
      </c>
      <c r="C460" s="1571" t="e">
        <v>#N/A</v>
      </c>
      <c r="D460" s="1571" t="e">
        <v>#N/A</v>
      </c>
      <c r="E460" s="1571" t="e">
        <v>#N/A</v>
      </c>
      <c r="F460" s="1571" t="e">
        <f t="shared" si="1"/>
        <v>#N/A</v>
      </c>
    </row>
    <row r="461" spans="2:6">
      <c r="B461" s="1570">
        <v>46447</v>
      </c>
      <c r="C461" s="1571" t="e">
        <v>#N/A</v>
      </c>
      <c r="D461" s="1571" t="e">
        <v>#N/A</v>
      </c>
      <c r="E461" s="1571" t="e">
        <v>#N/A</v>
      </c>
      <c r="F461" s="1571" t="e">
        <f t="shared" si="1"/>
        <v>#N/A</v>
      </c>
    </row>
    <row r="462" spans="2:6">
      <c r="B462" s="1570">
        <v>46478</v>
      </c>
      <c r="C462" s="1571" t="e">
        <v>#N/A</v>
      </c>
      <c r="D462" s="1571" t="e">
        <v>#N/A</v>
      </c>
      <c r="E462" s="1571" t="e">
        <v>#N/A</v>
      </c>
      <c r="F462" s="1571" t="e">
        <f t="shared" si="1"/>
        <v>#N/A</v>
      </c>
    </row>
    <row r="463" spans="2:6">
      <c r="B463" s="1570">
        <v>46508</v>
      </c>
      <c r="C463" s="1571" t="e">
        <v>#N/A</v>
      </c>
      <c r="D463" s="1571" t="e">
        <v>#N/A</v>
      </c>
      <c r="E463" s="1571" t="e">
        <v>#N/A</v>
      </c>
      <c r="F463" s="1571" t="e">
        <f t="shared" si="1"/>
        <v>#N/A</v>
      </c>
    </row>
    <row r="464" spans="2:6">
      <c r="B464" s="1570">
        <v>46539</v>
      </c>
      <c r="C464" s="1571" t="e">
        <v>#N/A</v>
      </c>
      <c r="D464" s="1571" t="e">
        <v>#N/A</v>
      </c>
      <c r="E464" s="1571" t="e">
        <v>#N/A</v>
      </c>
      <c r="F464" s="1571" t="e">
        <f t="shared" si="1"/>
        <v>#N/A</v>
      </c>
    </row>
    <row r="465" spans="2:6">
      <c r="B465" s="1570">
        <v>46569</v>
      </c>
      <c r="C465" s="1571" t="e">
        <v>#N/A</v>
      </c>
      <c r="D465" s="1571" t="e">
        <v>#N/A</v>
      </c>
      <c r="E465" s="1571" t="e">
        <v>#N/A</v>
      </c>
      <c r="F465" s="1571" t="e">
        <f t="shared" si="1"/>
        <v>#N/A</v>
      </c>
    </row>
    <row r="466" spans="2:6">
      <c r="B466" s="1570">
        <v>46600</v>
      </c>
      <c r="C466" s="1571" t="e">
        <v>#N/A</v>
      </c>
      <c r="D466" s="1571" t="e">
        <v>#N/A</v>
      </c>
      <c r="E466" s="1571" t="e">
        <v>#N/A</v>
      </c>
      <c r="F466" s="1571" t="e">
        <f t="shared" si="1"/>
        <v>#N/A</v>
      </c>
    </row>
    <row r="467" spans="2:6">
      <c r="B467" s="1570">
        <v>46631</v>
      </c>
      <c r="C467" s="1571" t="e">
        <v>#N/A</v>
      </c>
      <c r="D467" s="1571" t="e">
        <v>#N/A</v>
      </c>
      <c r="E467" s="1571" t="e">
        <v>#N/A</v>
      </c>
      <c r="F467" s="1571" t="e">
        <f t="shared" si="1"/>
        <v>#N/A</v>
      </c>
    </row>
    <row r="468" spans="2:6">
      <c r="B468" s="1570">
        <v>46661</v>
      </c>
      <c r="C468" s="1571" t="e">
        <v>#N/A</v>
      </c>
      <c r="D468" s="1571" t="e">
        <v>#N/A</v>
      </c>
      <c r="E468" s="1571" t="e">
        <v>#N/A</v>
      </c>
      <c r="F468" s="1571" t="e">
        <f t="shared" si="1"/>
        <v>#N/A</v>
      </c>
    </row>
    <row r="469" spans="2:6">
      <c r="B469" s="1570">
        <v>46692</v>
      </c>
      <c r="C469" s="1571" t="e">
        <v>#N/A</v>
      </c>
      <c r="D469" s="1571" t="e">
        <v>#N/A</v>
      </c>
      <c r="E469" s="1571" t="e">
        <v>#N/A</v>
      </c>
      <c r="F469" s="1571" t="e">
        <f t="shared" si="1"/>
        <v>#N/A</v>
      </c>
    </row>
    <row r="470" spans="2:6">
      <c r="B470" s="1570">
        <v>46722</v>
      </c>
      <c r="C470" s="1571" t="e">
        <v>#N/A</v>
      </c>
      <c r="D470" s="1571" t="e">
        <v>#N/A</v>
      </c>
      <c r="E470" s="1571" t="e">
        <v>#N/A</v>
      </c>
      <c r="F470" s="1571" t="e">
        <f t="shared" si="1"/>
        <v>#N/A</v>
      </c>
    </row>
    <row r="471" spans="2:6">
      <c r="B471" s="1570">
        <v>46753</v>
      </c>
      <c r="C471" s="1571" t="e">
        <v>#N/A</v>
      </c>
      <c r="D471" s="1571" t="e">
        <v>#N/A</v>
      </c>
      <c r="E471" s="1571" t="e">
        <v>#N/A</v>
      </c>
      <c r="F471" s="1571" t="e">
        <f t="shared" si="1"/>
        <v>#N/A</v>
      </c>
    </row>
    <row r="472" spans="2:6">
      <c r="B472" s="1570">
        <v>46784</v>
      </c>
      <c r="C472" s="1571" t="e">
        <v>#N/A</v>
      </c>
      <c r="D472" s="1571" t="e">
        <v>#N/A</v>
      </c>
      <c r="E472" s="1571" t="e">
        <v>#N/A</v>
      </c>
      <c r="F472" s="1571" t="e">
        <f t="shared" si="1"/>
        <v>#N/A</v>
      </c>
    </row>
    <row r="473" spans="2:6">
      <c r="B473" s="1570">
        <v>46813</v>
      </c>
      <c r="C473" s="1571" t="e">
        <v>#N/A</v>
      </c>
      <c r="D473" s="1571" t="e">
        <v>#N/A</v>
      </c>
      <c r="E473" s="1571" t="e">
        <v>#N/A</v>
      </c>
      <c r="F473" s="1571" t="e">
        <f t="shared" si="1"/>
        <v>#N/A</v>
      </c>
    </row>
    <row r="474" spans="2:6">
      <c r="B474" s="1570">
        <v>46844</v>
      </c>
      <c r="C474" s="1571" t="e">
        <v>#N/A</v>
      </c>
      <c r="D474" s="1571" t="e">
        <v>#N/A</v>
      </c>
      <c r="E474" s="1571" t="e">
        <v>#N/A</v>
      </c>
      <c r="F474" s="1571" t="e">
        <f t="shared" si="1"/>
        <v>#N/A</v>
      </c>
    </row>
    <row r="475" spans="2:6">
      <c r="B475" s="1570">
        <v>46874</v>
      </c>
      <c r="C475" s="1571" t="e">
        <v>#N/A</v>
      </c>
      <c r="D475" s="1571" t="e">
        <v>#N/A</v>
      </c>
      <c r="E475" s="1571" t="e">
        <v>#N/A</v>
      </c>
      <c r="F475" s="1571" t="e">
        <f t="shared" si="1"/>
        <v>#N/A</v>
      </c>
    </row>
    <row r="476" spans="2:6">
      <c r="B476" s="1570">
        <v>46905</v>
      </c>
      <c r="C476" s="1571" t="e">
        <v>#N/A</v>
      </c>
      <c r="D476" s="1571" t="e">
        <v>#N/A</v>
      </c>
      <c r="E476" s="1571" t="e">
        <v>#N/A</v>
      </c>
      <c r="F476" s="1571" t="e">
        <f t="shared" si="1"/>
        <v>#N/A</v>
      </c>
    </row>
    <row r="477" spans="2:6">
      <c r="B477" s="1570">
        <v>46935</v>
      </c>
      <c r="C477" s="1571" t="e">
        <v>#N/A</v>
      </c>
      <c r="D477" s="1571" t="e">
        <v>#N/A</v>
      </c>
      <c r="E477" s="1571" t="e">
        <v>#N/A</v>
      </c>
      <c r="F477" s="1571" t="e">
        <f t="shared" si="1"/>
        <v>#N/A</v>
      </c>
    </row>
    <row r="478" spans="2:6">
      <c r="B478" s="1570">
        <v>46966</v>
      </c>
      <c r="C478" s="1571" t="e">
        <v>#N/A</v>
      </c>
      <c r="D478" s="1571" t="e">
        <v>#N/A</v>
      </c>
      <c r="E478" s="1571" t="e">
        <v>#N/A</v>
      </c>
      <c r="F478" s="1571" t="e">
        <f t="shared" si="1"/>
        <v>#N/A</v>
      </c>
    </row>
    <row r="479" spans="2:6">
      <c r="B479" s="1570">
        <v>46997</v>
      </c>
      <c r="C479" s="1571" t="e">
        <v>#N/A</v>
      </c>
      <c r="D479" s="1571" t="e">
        <v>#N/A</v>
      </c>
      <c r="E479" s="1571" t="e">
        <v>#N/A</v>
      </c>
      <c r="F479" s="1571" t="e">
        <f t="shared" si="1"/>
        <v>#N/A</v>
      </c>
    </row>
    <row r="480" spans="2:6">
      <c r="B480" s="1570">
        <v>47027</v>
      </c>
      <c r="C480" s="1571" t="e">
        <v>#N/A</v>
      </c>
      <c r="D480" s="1571" t="e">
        <v>#N/A</v>
      </c>
      <c r="E480" s="1571" t="e">
        <v>#N/A</v>
      </c>
      <c r="F480" s="1571" t="e">
        <f t="shared" si="1"/>
        <v>#N/A</v>
      </c>
    </row>
    <row r="481" spans="2:6">
      <c r="B481" s="1570">
        <v>47058</v>
      </c>
      <c r="C481" s="1571" t="e">
        <v>#N/A</v>
      </c>
      <c r="D481" s="1571" t="e">
        <v>#N/A</v>
      </c>
      <c r="E481" s="1571" t="e">
        <v>#N/A</v>
      </c>
      <c r="F481" s="1571" t="e">
        <f t="shared" si="1"/>
        <v>#N/A</v>
      </c>
    </row>
    <row r="482" spans="2:6">
      <c r="B482" s="1570">
        <v>47088</v>
      </c>
      <c r="C482" s="1571" t="e">
        <v>#N/A</v>
      </c>
      <c r="D482" s="1571" t="e">
        <v>#N/A</v>
      </c>
      <c r="E482" s="1571" t="e">
        <v>#N/A</v>
      </c>
      <c r="F482" s="1571" t="e">
        <f t="shared" si="1"/>
        <v>#N/A</v>
      </c>
    </row>
    <row r="483" spans="2:6">
      <c r="B483" s="1570">
        <v>47119</v>
      </c>
      <c r="C483" s="1571" t="e">
        <v>#N/A</v>
      </c>
      <c r="D483" s="1571" t="e">
        <v>#N/A</v>
      </c>
      <c r="E483" s="1571" t="e">
        <v>#N/A</v>
      </c>
      <c r="F483" s="1571" t="e">
        <f t="shared" si="1"/>
        <v>#N/A</v>
      </c>
    </row>
    <row r="484" spans="2:6">
      <c r="B484" s="1570">
        <v>47150</v>
      </c>
      <c r="C484" s="1571" t="e">
        <v>#N/A</v>
      </c>
      <c r="D484" s="1571" t="e">
        <v>#N/A</v>
      </c>
      <c r="E484" s="1571" t="e">
        <v>#N/A</v>
      </c>
      <c r="F484" s="1571" t="e">
        <f t="shared" ref="F484:F500" si="2">F483*E484</f>
        <v>#N/A</v>
      </c>
    </row>
    <row r="485" spans="2:6">
      <c r="B485" s="1570">
        <v>47178</v>
      </c>
      <c r="C485" s="1571" t="e">
        <v>#N/A</v>
      </c>
      <c r="D485" s="1571" t="e">
        <v>#N/A</v>
      </c>
      <c r="E485" s="1571" t="e">
        <v>#N/A</v>
      </c>
      <c r="F485" s="1571" t="e">
        <f t="shared" si="2"/>
        <v>#N/A</v>
      </c>
    </row>
    <row r="486" spans="2:6">
      <c r="B486" s="1570">
        <v>47209</v>
      </c>
      <c r="C486" s="1571" t="e">
        <v>#N/A</v>
      </c>
      <c r="D486" s="1571" t="e">
        <v>#N/A</v>
      </c>
      <c r="E486" s="1571" t="e">
        <v>#N/A</v>
      </c>
      <c r="F486" s="1571" t="e">
        <f t="shared" si="2"/>
        <v>#N/A</v>
      </c>
    </row>
    <row r="487" spans="2:6">
      <c r="B487" s="1570">
        <v>47239</v>
      </c>
      <c r="C487" s="1571" t="e">
        <v>#N/A</v>
      </c>
      <c r="D487" s="1571" t="e">
        <v>#N/A</v>
      </c>
      <c r="E487" s="1571" t="e">
        <v>#N/A</v>
      </c>
      <c r="F487" s="1571" t="e">
        <f t="shared" si="2"/>
        <v>#N/A</v>
      </c>
    </row>
    <row r="488" spans="2:6">
      <c r="B488" s="1570">
        <v>47270</v>
      </c>
      <c r="C488" s="1571" t="e">
        <v>#N/A</v>
      </c>
      <c r="D488" s="1571" t="e">
        <v>#N/A</v>
      </c>
      <c r="E488" s="1571" t="e">
        <v>#N/A</v>
      </c>
      <c r="F488" s="1571" t="e">
        <f t="shared" si="2"/>
        <v>#N/A</v>
      </c>
    </row>
    <row r="489" spans="2:6">
      <c r="B489" s="1570">
        <v>47300</v>
      </c>
      <c r="C489" s="1571" t="e">
        <v>#N/A</v>
      </c>
      <c r="D489" s="1571" t="e">
        <v>#N/A</v>
      </c>
      <c r="E489" s="1571" t="e">
        <v>#N/A</v>
      </c>
      <c r="F489" s="1571" t="e">
        <f t="shared" si="2"/>
        <v>#N/A</v>
      </c>
    </row>
    <row r="490" spans="2:6">
      <c r="B490" s="1570">
        <v>47331</v>
      </c>
      <c r="C490" s="1571" t="e">
        <v>#N/A</v>
      </c>
      <c r="D490" s="1571" t="e">
        <v>#N/A</v>
      </c>
      <c r="E490" s="1571" t="e">
        <v>#N/A</v>
      </c>
      <c r="F490" s="1571" t="e">
        <f t="shared" si="2"/>
        <v>#N/A</v>
      </c>
    </row>
    <row r="491" spans="2:6">
      <c r="B491" s="1570">
        <v>47362</v>
      </c>
      <c r="C491" s="1571" t="e">
        <v>#N/A</v>
      </c>
      <c r="D491" s="1571" t="e">
        <v>#N/A</v>
      </c>
      <c r="E491" s="1571" t="e">
        <v>#N/A</v>
      </c>
      <c r="F491" s="1571" t="e">
        <f t="shared" si="2"/>
        <v>#N/A</v>
      </c>
    </row>
    <row r="492" spans="2:6">
      <c r="B492" s="1570">
        <v>47392</v>
      </c>
      <c r="C492" s="1571" t="e">
        <v>#N/A</v>
      </c>
      <c r="D492" s="1571" t="e">
        <v>#N/A</v>
      </c>
      <c r="E492" s="1571" t="e">
        <v>#N/A</v>
      </c>
      <c r="F492" s="1571" t="e">
        <f t="shared" si="2"/>
        <v>#N/A</v>
      </c>
    </row>
    <row r="493" spans="2:6">
      <c r="B493" s="1570">
        <v>47423</v>
      </c>
      <c r="C493" s="1571" t="e">
        <v>#N/A</v>
      </c>
      <c r="D493" s="1571" t="e">
        <v>#N/A</v>
      </c>
      <c r="E493" s="1571" t="e">
        <v>#N/A</v>
      </c>
      <c r="F493" s="1571" t="e">
        <f t="shared" si="2"/>
        <v>#N/A</v>
      </c>
    </row>
    <row r="494" spans="2:6">
      <c r="B494" s="1570">
        <v>47453</v>
      </c>
      <c r="C494" s="1571" t="e">
        <v>#N/A</v>
      </c>
      <c r="D494" s="1571" t="e">
        <v>#N/A</v>
      </c>
      <c r="E494" s="1571" t="e">
        <v>#N/A</v>
      </c>
      <c r="F494" s="1571" t="e">
        <f t="shared" si="2"/>
        <v>#N/A</v>
      </c>
    </row>
    <row r="495" spans="2:6">
      <c r="B495" s="1570">
        <v>47484</v>
      </c>
      <c r="C495" s="1571" t="e">
        <v>#N/A</v>
      </c>
      <c r="D495" s="1571" t="e">
        <v>#N/A</v>
      </c>
      <c r="E495" s="1571" t="e">
        <v>#N/A</v>
      </c>
      <c r="F495" s="1571" t="e">
        <f t="shared" si="2"/>
        <v>#N/A</v>
      </c>
    </row>
    <row r="496" spans="2:6">
      <c r="B496" s="1570">
        <v>47515</v>
      </c>
      <c r="C496" s="1571" t="e">
        <v>#N/A</v>
      </c>
      <c r="D496" s="1571" t="e">
        <v>#N/A</v>
      </c>
      <c r="E496" s="1571" t="e">
        <v>#N/A</v>
      </c>
      <c r="F496" s="1571" t="e">
        <f t="shared" si="2"/>
        <v>#N/A</v>
      </c>
    </row>
    <row r="497" spans="2:6">
      <c r="B497" s="1570">
        <v>47543</v>
      </c>
      <c r="C497" s="1571" t="e">
        <v>#N/A</v>
      </c>
      <c r="D497" s="1571" t="e">
        <v>#N/A</v>
      </c>
      <c r="E497" s="1571" t="e">
        <v>#N/A</v>
      </c>
      <c r="F497" s="1571" t="e">
        <f t="shared" si="2"/>
        <v>#N/A</v>
      </c>
    </row>
    <row r="498" spans="2:6">
      <c r="B498" s="1570">
        <v>47574</v>
      </c>
      <c r="C498" s="1571" t="e">
        <v>#N/A</v>
      </c>
      <c r="D498" s="1571" t="e">
        <v>#N/A</v>
      </c>
      <c r="E498" s="1571" t="e">
        <v>#N/A</v>
      </c>
      <c r="F498" s="1571" t="e">
        <f t="shared" si="2"/>
        <v>#N/A</v>
      </c>
    </row>
    <row r="499" spans="2:6">
      <c r="B499" s="1570">
        <v>47604</v>
      </c>
      <c r="C499" s="1571" t="e">
        <v>#N/A</v>
      </c>
      <c r="D499" s="1571" t="e">
        <v>#N/A</v>
      </c>
      <c r="E499" s="1571" t="e">
        <v>#N/A</v>
      </c>
      <c r="F499" s="1571" t="e">
        <f t="shared" si="2"/>
        <v>#N/A</v>
      </c>
    </row>
    <row r="500" spans="2:6">
      <c r="B500" s="1570">
        <v>47635</v>
      </c>
      <c r="C500" s="1571" t="e">
        <v>#N/A</v>
      </c>
      <c r="D500" s="1571" t="e">
        <v>#N/A</v>
      </c>
      <c r="E500" s="1571" t="e">
        <v>#N/A</v>
      </c>
      <c r="F500" s="1571" t="e">
        <f t="shared" si="2"/>
        <v>#N/A</v>
      </c>
    </row>
  </sheetData>
  <autoFilter ref="B6:F500" xr:uid="{00000000-0009-0000-0000-000011000000}"/>
  <phoneticPr fontId="44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496"/>
  <sheetViews>
    <sheetView workbookViewId="0">
      <selection activeCell="F84" sqref="F84:K84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1539</v>
      </c>
      <c r="B1" t="s">
        <v>1557</v>
      </c>
      <c r="C1" t="s">
        <v>22</v>
      </c>
      <c r="D1" t="s">
        <v>1558</v>
      </c>
      <c r="E1" t="s">
        <v>1559</v>
      </c>
      <c r="F1" t="s">
        <v>1560</v>
      </c>
      <c r="G1" t="s">
        <v>1561</v>
      </c>
      <c r="H1" t="s">
        <v>1562</v>
      </c>
      <c r="I1" t="s">
        <v>1372</v>
      </c>
      <c r="J1" t="s">
        <v>1373</v>
      </c>
      <c r="K1" t="s">
        <v>1374</v>
      </c>
      <c r="L1" t="s">
        <v>1563</v>
      </c>
      <c r="M1" t="s">
        <v>1564</v>
      </c>
      <c r="N1" t="s">
        <v>1565</v>
      </c>
      <c r="O1" t="s">
        <v>1566</v>
      </c>
      <c r="P1" t="s">
        <v>1567</v>
      </c>
      <c r="Q1" t="s">
        <v>1568</v>
      </c>
    </row>
    <row r="2" spans="1:17" s="13" customFormat="1" ht="15.75">
      <c r="A2" t="s">
        <v>772</v>
      </c>
      <c r="B2" t="s">
        <v>1569</v>
      </c>
      <c r="C2" t="s">
        <v>1553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0.14660863250101475</v>
      </c>
      <c r="Q2" s="234">
        <f>CAPA!K16</f>
        <v>0.14660863250101475</v>
      </c>
    </row>
    <row r="3" spans="1:17" s="13" customFormat="1" ht="15.75">
      <c r="A3" t="s">
        <v>772</v>
      </c>
      <c r="B3" t="s">
        <v>1569</v>
      </c>
      <c r="C3" t="s">
        <v>849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0.12131630216906664</v>
      </c>
      <c r="Q3" s="234">
        <f>CAPA!K17</f>
        <v>0.12131630216906664</v>
      </c>
    </row>
    <row r="4" spans="1:17" s="13" customFormat="1" ht="15.75">
      <c r="A4" t="s">
        <v>772</v>
      </c>
      <c r="B4" t="s">
        <v>1569</v>
      </c>
      <c r="C4" t="s">
        <v>1553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1177.809</v>
      </c>
      <c r="Q4" s="234">
        <f>CAPA!K14</f>
        <v>1177.809</v>
      </c>
    </row>
    <row r="5" spans="1:17" s="13" customFormat="1" ht="15.75">
      <c r="A5" t="s">
        <v>772</v>
      </c>
      <c r="B5" t="s">
        <v>1569</v>
      </c>
      <c r="C5" t="s">
        <v>849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6382.88</v>
      </c>
      <c r="Q5" s="234">
        <f>CAPA!K15</f>
        <v>6382.88</v>
      </c>
    </row>
    <row r="6" spans="1:17" s="13" customFormat="1" ht="15.75">
      <c r="A6" t="s">
        <v>772</v>
      </c>
      <c r="B6" t="s">
        <v>1569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0.21260000000000001</v>
      </c>
      <c r="Q6" s="234">
        <f ca="1">Resultado!C7</f>
        <v>0.21260000000000001</v>
      </c>
    </row>
    <row r="7" spans="1:17" s="13" customFormat="1" ht="15.75">
      <c r="A7" t="s">
        <v>772</v>
      </c>
      <c r="B7" t="s">
        <v>1569</v>
      </c>
      <c r="C7" t="s">
        <v>1345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-0.12870000000000001</v>
      </c>
      <c r="Q7" s="234">
        <f ca="1">Resultado!C8</f>
        <v>-0.12870000000000001</v>
      </c>
    </row>
    <row r="8" spans="1:17" s="13" customFormat="1" ht="15.75">
      <c r="A8" t="s">
        <v>772</v>
      </c>
      <c r="B8" t="s">
        <v>1569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8.3900000000000002E-2</v>
      </c>
      <c r="Q8" s="234">
        <f ca="1">Resultado!C9</f>
        <v>8.3900000000000002E-2</v>
      </c>
    </row>
    <row r="9" spans="1:17" s="13" customFormat="1" ht="15.75">
      <c r="A9" t="s">
        <v>772</v>
      </c>
      <c r="B9" t="s">
        <v>1569</v>
      </c>
      <c r="C9" t="s">
        <v>1570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1.6220382505345032E-2</v>
      </c>
      <c r="Q9" s="234">
        <f ca="1">IF(ISERROR(LnkTXTICMS),0,LnkTXTICMS)</f>
        <v>1.6220382505345032E-2</v>
      </c>
    </row>
    <row r="10" spans="1:17" s="13" customFormat="1" ht="15.75">
      <c r="A10" t="s">
        <v>772</v>
      </c>
      <c r="B10" t="s">
        <v>1569</v>
      </c>
      <c r="C10" t="s">
        <v>1571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2.9543928527135457E-3</v>
      </c>
      <c r="Q10" s="234">
        <f ca="1">IF(ISERROR(LNKTXTPercPISCOFINS),0,LNKTXTPercPISCOFINS)</f>
        <v>2.9543928527135457E-3</v>
      </c>
    </row>
    <row r="11" spans="1:17" ht="15.75">
      <c r="A11" t="s">
        <v>772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772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772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22294.131810006256</v>
      </c>
      <c r="Q13" s="234">
        <f ca="1">Resultado!D17</f>
        <v>22294.131810006256</v>
      </c>
    </row>
    <row r="14" spans="1:17" ht="15.75">
      <c r="A14" t="s">
        <v>772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326721.76126000017</v>
      </c>
      <c r="Q14" s="234">
        <f ca="1">Encargos!I19</f>
        <v>326721.76126000017</v>
      </c>
    </row>
    <row r="15" spans="1:17" ht="15.75">
      <c r="A15" t="s">
        <v>772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772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0</v>
      </c>
      <c r="Q16" s="234">
        <f>Resultado!D20</f>
        <v>0</v>
      </c>
    </row>
    <row r="17" spans="1:17" ht="15.75">
      <c r="A17" t="s">
        <v>772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123162.64722000006</v>
      </c>
      <c r="Q17" s="234">
        <f ca="1">Resultado!D21</f>
        <v>123162.64722000006</v>
      </c>
    </row>
    <row r="18" spans="1:17" ht="15.75">
      <c r="A18" t="s">
        <v>772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772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772</v>
      </c>
      <c r="B20" t="s">
        <v>794</v>
      </c>
      <c r="C20" t="s">
        <v>1572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772</v>
      </c>
      <c r="B21" t="s">
        <v>794</v>
      </c>
      <c r="C21" t="s">
        <v>1573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1447629.078219</v>
      </c>
      <c r="Q21" s="234">
        <f>Q22/(1-Q20)</f>
        <v>1447629.078219</v>
      </c>
    </row>
    <row r="22" spans="1:17" ht="15.75">
      <c r="A22" t="s">
        <v>772</v>
      </c>
      <c r="B22" t="s">
        <v>794</v>
      </c>
      <c r="C22" t="s">
        <v>1574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1447629.078219</v>
      </c>
      <c r="Q22" s="234">
        <f>CUSD!C3</f>
        <v>1447629.078219</v>
      </c>
    </row>
    <row r="23" spans="1:17" ht="15.75">
      <c r="A23" t="s">
        <v>772</v>
      </c>
      <c r="B23" t="s">
        <v>794</v>
      </c>
      <c r="C23" s="9" t="s">
        <v>1237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0</v>
      </c>
      <c r="Q23" s="234">
        <f>Resultado!D25</f>
        <v>0</v>
      </c>
    </row>
    <row r="24" spans="1:17" ht="15.75">
      <c r="A24" t="s">
        <v>772</v>
      </c>
      <c r="B24" t="s">
        <v>794</v>
      </c>
      <c r="C24" t="s">
        <v>1265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0</v>
      </c>
      <c r="Q24" s="234">
        <f>Resultado!D26</f>
        <v>0</v>
      </c>
    </row>
    <row r="25" spans="1:17" ht="15.75">
      <c r="A25" t="s">
        <v>772</v>
      </c>
      <c r="B25" t="s">
        <v>794</v>
      </c>
      <c r="C25" t="s">
        <v>1575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772</v>
      </c>
      <c r="B26" t="s">
        <v>794</v>
      </c>
      <c r="C26" t="s">
        <v>1576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772</v>
      </c>
      <c r="B27" t="s">
        <v>794</v>
      </c>
      <c r="C27" t="s">
        <v>1577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772</v>
      </c>
      <c r="B28" t="s">
        <v>794</v>
      </c>
      <c r="C28" t="s">
        <v>1578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772</v>
      </c>
      <c r="B29" t="s">
        <v>794</v>
      </c>
      <c r="C29" t="s">
        <v>1579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771</v>
      </c>
      <c r="B30" t="s">
        <v>120</v>
      </c>
      <c r="C30" t="s">
        <v>822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772</v>
      </c>
      <c r="B31" t="s">
        <v>120</v>
      </c>
      <c r="C31" t="s">
        <v>822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12849.937059999998</v>
      </c>
      <c r="Q31" s="234">
        <f ca="1">Energia!C5</f>
        <v>12849.937059999998</v>
      </c>
    </row>
    <row r="32" spans="1:17" ht="15.75">
      <c r="A32" t="s">
        <v>772</v>
      </c>
      <c r="B32" t="s">
        <v>120</v>
      </c>
      <c r="C32" t="s">
        <v>1580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1629.2540599999938</v>
      </c>
      <c r="Q32" s="234">
        <f ca="1">Energia!M17</f>
        <v>1629.2540599999938</v>
      </c>
    </row>
    <row r="33" spans="1:17" ht="15.75">
      <c r="A33" t="s">
        <v>772</v>
      </c>
      <c r="B33" t="s">
        <v>120</v>
      </c>
      <c r="C33" t="s">
        <v>1581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Energia!M16</f>
        <v>0</v>
      </c>
    </row>
    <row r="34" spans="1:17" ht="15.75">
      <c r="A34" t="s">
        <v>772</v>
      </c>
      <c r="B34" t="s">
        <v>120</v>
      </c>
      <c r="C34" t="s">
        <v>1582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0</v>
      </c>
      <c r="Q34" s="234">
        <f ca="1">Energia!M18</f>
        <v>0</v>
      </c>
    </row>
    <row r="35" spans="1:17" ht="15.75">
      <c r="A35" t="s">
        <v>772</v>
      </c>
      <c r="B35" t="s">
        <v>120</v>
      </c>
      <c r="C35" t="s">
        <v>1583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0</v>
      </c>
      <c r="Q35" s="234">
        <f ca="1">Energia!M19</f>
        <v>0</v>
      </c>
    </row>
    <row r="36" spans="1:17" ht="15.75">
      <c r="A36" t="s">
        <v>772</v>
      </c>
      <c r="B36" t="s">
        <v>120</v>
      </c>
      <c r="C36" t="s">
        <v>1584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0.12679082025013388</v>
      </c>
      <c r="Q36" s="234">
        <f ca="1">Energia!M14</f>
        <v>0.12679082025013388</v>
      </c>
    </row>
    <row r="37" spans="1:17" s="12" customFormat="1" ht="15.75">
      <c r="A37" t="s">
        <v>772</v>
      </c>
      <c r="B37" t="s">
        <v>120</v>
      </c>
      <c r="C37" t="s">
        <v>1585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Energia!M13</f>
        <v>0</v>
      </c>
    </row>
    <row r="38" spans="1:17" s="12" customFormat="1" ht="15.75">
      <c r="A38" t="s">
        <v>772</v>
      </c>
      <c r="B38" t="s">
        <v>120</v>
      </c>
      <c r="C38" t="s">
        <v>1586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0</v>
      </c>
      <c r="Q38" s="234">
        <f ca="1">Energia!M15</f>
        <v>0</v>
      </c>
    </row>
    <row r="39" spans="1:17" s="15" customFormat="1" ht="15.75">
      <c r="A39" t="s">
        <v>772</v>
      </c>
      <c r="B39" t="s">
        <v>120</v>
      </c>
      <c r="C39" t="s">
        <v>1587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3218115.4223371609</v>
      </c>
      <c r="Q39" s="234">
        <f ca="1">Energia!C14</f>
        <v>3218115.4223371609</v>
      </c>
    </row>
    <row r="40" spans="1:17" ht="15.75">
      <c r="A40" t="s">
        <v>771</v>
      </c>
      <c r="B40" t="s">
        <v>120</v>
      </c>
      <c r="C40" t="s">
        <v>1588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250.43822450731611</v>
      </c>
      <c r="Q40" s="234">
        <f ca="1">Energia!C13</f>
        <v>250.43822450731611</v>
      </c>
    </row>
    <row r="41" spans="1:17" ht="15.75">
      <c r="A41" t="s">
        <v>771</v>
      </c>
      <c r="B41" t="s">
        <v>120</v>
      </c>
      <c r="C41" t="s">
        <v>1589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158.70614807366212</v>
      </c>
      <c r="Q41" s="234">
        <f>Energia!C19</f>
        <v>158.70614807366212</v>
      </c>
    </row>
    <row r="42" spans="1:17" ht="15.75">
      <c r="A42" t="s">
        <v>772</v>
      </c>
      <c r="B42" t="s">
        <v>120</v>
      </c>
      <c r="C42" t="s">
        <v>1590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12691.230911926335</v>
      </c>
      <c r="Q42" s="234">
        <f ca="1">Energia!C22</f>
        <v>12691.230911926335</v>
      </c>
    </row>
    <row r="43" spans="1:17" ht="15.75">
      <c r="A43" t="s">
        <v>772</v>
      </c>
      <c r="B43" t="s">
        <v>120</v>
      </c>
      <c r="C43" s="9" t="s">
        <v>1591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3218115.4223371609</v>
      </c>
      <c r="Q43" s="234">
        <f ca="1">Energia!F22</f>
        <v>3218115.4223371609</v>
      </c>
    </row>
    <row r="44" spans="1:17" s="12" customFormat="1" ht="15.75">
      <c r="A44" t="s">
        <v>772</v>
      </c>
      <c r="B44" t="s">
        <v>120</v>
      </c>
      <c r="C44" t="s">
        <v>1592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772</v>
      </c>
      <c r="B45" t="s">
        <v>120</v>
      </c>
      <c r="C45" t="s">
        <v>1593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772</v>
      </c>
      <c r="B46" t="s">
        <v>120</v>
      </c>
      <c r="C46" t="s">
        <v>1594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772</v>
      </c>
      <c r="B47" t="s">
        <v>120</v>
      </c>
      <c r="C47" s="9" t="s">
        <v>1595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 s="422">
        <f>VALUE(Energia!A28)</f>
        <v>6587</v>
      </c>
      <c r="P47" s="234">
        <f t="shared" si="0"/>
        <v>0</v>
      </c>
      <c r="Q47" s="234">
        <f>Energia!F28</f>
        <v>0</v>
      </c>
    </row>
    <row r="48" spans="1:17" s="12" customFormat="1" ht="15.75">
      <c r="A48" t="s">
        <v>772</v>
      </c>
      <c r="B48" t="s">
        <v>120</v>
      </c>
      <c r="C48" s="9" t="s">
        <v>1595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 s="422">
        <f>VALUE(Energia!A29)</f>
        <v>0</v>
      </c>
      <c r="P48" s="234">
        <f t="shared" si="0"/>
        <v>0</v>
      </c>
      <c r="Q48" s="234" t="str">
        <f>Energia!F29</f>
        <v/>
      </c>
    </row>
    <row r="49" spans="1:17" s="12" customFormat="1" ht="15.75">
      <c r="A49" t="s">
        <v>772</v>
      </c>
      <c r="B49" t="s">
        <v>120</v>
      </c>
      <c r="C49" s="9" t="s">
        <v>1595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2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772</v>
      </c>
      <c r="B50" t="s">
        <v>120</v>
      </c>
      <c r="C50" s="9" t="s">
        <v>1595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2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772</v>
      </c>
      <c r="B51" t="s">
        <v>120</v>
      </c>
      <c r="C51" s="9" t="s">
        <v>1595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2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772</v>
      </c>
      <c r="B52" t="s">
        <v>974</v>
      </c>
      <c r="C52" t="s">
        <v>966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11220.683000000005</v>
      </c>
      <c r="Q52" s="234">
        <f ca="1">FornecimentoE</f>
        <v>11220.683000000005</v>
      </c>
    </row>
    <row r="53" spans="1:17" s="12" customFormat="1" ht="15.75">
      <c r="A53" t="s">
        <v>772</v>
      </c>
      <c r="B53" t="s">
        <v>974</v>
      </c>
      <c r="C53" t="s">
        <v>987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772</v>
      </c>
      <c r="B54" t="s">
        <v>974</v>
      </c>
      <c r="C54" t="s">
        <v>1596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772</v>
      </c>
      <c r="B55" t="s">
        <v>974</v>
      </c>
      <c r="C55" t="s">
        <v>1597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0</v>
      </c>
      <c r="Q55" s="234">
        <f ca="1">Calc_Mercado!C22</f>
        <v>0</v>
      </c>
    </row>
    <row r="56" spans="1:17" s="12" customFormat="1" ht="15.75">
      <c r="A56" t="s">
        <v>772</v>
      </c>
      <c r="B56" t="s">
        <v>974</v>
      </c>
      <c r="C56" t="s">
        <v>991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772</v>
      </c>
      <c r="B57" t="s">
        <v>974</v>
      </c>
      <c r="C57" t="s">
        <v>1598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772</v>
      </c>
      <c r="B58" t="s">
        <v>974</v>
      </c>
      <c r="C58" t="s">
        <v>1599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772</v>
      </c>
      <c r="B59" t="s">
        <v>974</v>
      </c>
      <c r="C59" t="s">
        <v>1600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772</v>
      </c>
      <c r="B60" t="s">
        <v>974</v>
      </c>
      <c r="C60" t="s">
        <v>1601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772</v>
      </c>
      <c r="B61" t="s">
        <v>974</v>
      </c>
      <c r="C61" t="s">
        <v>1602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772</v>
      </c>
      <c r="B62" t="s">
        <v>974</v>
      </c>
      <c r="C62" t="s">
        <v>1603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312.81800000000004</v>
      </c>
      <c r="Q62" s="234">
        <f ca="1">Calc_Mercado!C13</f>
        <v>312.81800000000004</v>
      </c>
    </row>
    <row r="63" spans="1:17" s="12" customFormat="1" ht="15.75">
      <c r="A63" t="s">
        <v>772</v>
      </c>
      <c r="B63" t="s">
        <v>974</v>
      </c>
      <c r="C63" t="s">
        <v>1604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772</v>
      </c>
      <c r="B64" t="s">
        <v>974</v>
      </c>
      <c r="C64" t="s">
        <v>1605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0" ca="1" si="2">IF(ISNUMBER(Q64),Q64,0)</f>
        <v>10907.865000000005</v>
      </c>
      <c r="Q64" s="234">
        <f ca="1">FornecimentoE_BT</f>
        <v>10907.865000000005</v>
      </c>
    </row>
    <row r="65" spans="1:17" ht="15.75">
      <c r="A65" t="s">
        <v>772</v>
      </c>
      <c r="B65" t="s">
        <v>974</v>
      </c>
      <c r="C65" t="s">
        <v>966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8669186.6415299959</v>
      </c>
      <c r="Q65" s="234">
        <f ca="1">Calc_Mercado!D8</f>
        <v>8669186.6415299959</v>
      </c>
    </row>
    <row r="66" spans="1:17" ht="15.75">
      <c r="A66" t="s">
        <v>772</v>
      </c>
      <c r="B66" t="s">
        <v>974</v>
      </c>
      <c r="C66" t="s">
        <v>987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772</v>
      </c>
      <c r="B67" t="s">
        <v>974</v>
      </c>
      <c r="C67" t="s">
        <v>1596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772</v>
      </c>
      <c r="B68" t="s">
        <v>974</v>
      </c>
      <c r="C68" t="s">
        <v>1597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0</v>
      </c>
      <c r="Q68" s="234">
        <f ca="1">Calc_Mercado!D22</f>
        <v>0</v>
      </c>
    </row>
    <row r="69" spans="1:17" ht="15.75">
      <c r="A69" t="s">
        <v>772</v>
      </c>
      <c r="B69" t="s">
        <v>974</v>
      </c>
      <c r="C69" t="s">
        <v>991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772</v>
      </c>
      <c r="B70" t="s">
        <v>974</v>
      </c>
      <c r="C70" t="s">
        <v>1598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772</v>
      </c>
      <c r="B71" t="s">
        <v>974</v>
      </c>
      <c r="C71" t="s">
        <v>1599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772</v>
      </c>
      <c r="B72" t="s">
        <v>974</v>
      </c>
      <c r="C72" t="s">
        <v>1600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772</v>
      </c>
      <c r="B73" t="s">
        <v>974</v>
      </c>
      <c r="C73" t="s">
        <v>1601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772</v>
      </c>
      <c r="B74" t="s">
        <v>974</v>
      </c>
      <c r="C74" t="s">
        <v>1602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772</v>
      </c>
      <c r="B75" t="s">
        <v>974</v>
      </c>
      <c r="C75" t="s">
        <v>1603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169934.39389999997</v>
      </c>
      <c r="Q75" s="234">
        <f ca="1">Calc_Mercado!D13</f>
        <v>169934.39389999997</v>
      </c>
    </row>
    <row r="76" spans="1:17" ht="15.75">
      <c r="A76" t="s">
        <v>772</v>
      </c>
      <c r="B76" t="s">
        <v>974</v>
      </c>
      <c r="C76" t="s">
        <v>1604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772</v>
      </c>
      <c r="B77" t="s">
        <v>974</v>
      </c>
      <c r="C77" t="s">
        <v>1605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8499252.2476299964</v>
      </c>
      <c r="Q77" s="234">
        <f ca="1">Calc_Mercado!D15</f>
        <v>8499252.2476299964</v>
      </c>
    </row>
    <row r="78" spans="1:17" ht="15.75">
      <c r="A78" t="s">
        <v>772</v>
      </c>
      <c r="B78" t="s">
        <v>974</v>
      </c>
      <c r="C78" t="s">
        <v>1606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1.15E-2</v>
      </c>
      <c r="Q78" s="234">
        <f>CAPA!H43</f>
        <v>1.15E-2</v>
      </c>
    </row>
    <row r="79" spans="1:17" ht="15.75">
      <c r="A79" t="s">
        <v>771</v>
      </c>
      <c r="B79" t="s">
        <v>974</v>
      </c>
      <c r="C79" s="9" t="s">
        <v>1607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-8.5000000000000006E-3</v>
      </c>
      <c r="Q79" s="234">
        <f>CAPA!H42</f>
        <v>-8.5000000000000006E-3</v>
      </c>
    </row>
    <row r="80" spans="1:17" ht="15.75">
      <c r="A80" t="s">
        <v>772</v>
      </c>
      <c r="B80" t="s">
        <v>974</v>
      </c>
      <c r="C80" t="s">
        <v>1608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11220.683000000005</v>
      </c>
      <c r="Q80" s="234">
        <f ca="1">LnkTXTEV</f>
        <v>11220.683000000005</v>
      </c>
    </row>
    <row r="81" spans="1:17" ht="15.75">
      <c r="A81" t="s">
        <v>772</v>
      </c>
      <c r="B81" t="s">
        <v>109</v>
      </c>
      <c r="C81" t="s">
        <v>1609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5374442.8200000003</v>
      </c>
      <c r="Q81" s="234">
        <f>Resultado!D39</f>
        <v>5374442.8200000003</v>
      </c>
    </row>
    <row r="82" spans="1:17" ht="15.75">
      <c r="A82" s="402" t="s">
        <v>772</v>
      </c>
      <c r="B82" s="402" t="s">
        <v>1378</v>
      </c>
      <c r="C82" s="402" t="str">
        <f>Financeiros!C9</f>
        <v>Repasse de PIS COFINS</v>
      </c>
      <c r="D82" s="402">
        <v>2</v>
      </c>
      <c r="E82" s="402">
        <v>2</v>
      </c>
      <c r="F82" s="402">
        <v>999</v>
      </c>
      <c r="G82" s="402">
        <v>999999</v>
      </c>
      <c r="H82" s="402">
        <v>999</v>
      </c>
      <c r="I82" s="402">
        <v>99</v>
      </c>
      <c r="J82" s="402">
        <v>999</v>
      </c>
      <c r="K82" s="402">
        <v>9</v>
      </c>
      <c r="L82" s="402">
        <v>99</v>
      </c>
      <c r="M82">
        <v>9</v>
      </c>
      <c r="N82" s="402">
        <v>3</v>
      </c>
      <c r="O82" s="402">
        <v>99999</v>
      </c>
      <c r="P82" s="403">
        <f t="shared" si="2"/>
        <v>0</v>
      </c>
      <c r="Q82" s="403">
        <v>0</v>
      </c>
    </row>
    <row r="83" spans="1:17" ht="15.75">
      <c r="A83" t="s">
        <v>772</v>
      </c>
      <c r="B83" t="s">
        <v>1378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ca="1" si="2"/>
        <v>53063.032490582591</v>
      </c>
      <c r="Q83" s="234">
        <f ca="1">Financeiros!D10</f>
        <v>53063.032490582591</v>
      </c>
    </row>
    <row r="84" spans="1:17" ht="15.75">
      <c r="A84" t="s">
        <v>772</v>
      </c>
      <c r="B84" t="s">
        <v>1378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ca="1" si="2"/>
        <v>125046.8516070542</v>
      </c>
      <c r="Q84" s="234">
        <f ca="1">Financeiros!D11</f>
        <v>125046.8516070542</v>
      </c>
    </row>
    <row r="85" spans="1:17" ht="15.75">
      <c r="A85" t="s">
        <v>772</v>
      </c>
      <c r="B85" t="s">
        <v>1378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-878.65841579449477</v>
      </c>
      <c r="Q85" s="234">
        <f ca="1">Financeiros!D12</f>
        <v>-878.65841579449477</v>
      </c>
    </row>
    <row r="86" spans="1:17" ht="15.75">
      <c r="A86" t="s">
        <v>772</v>
      </c>
      <c r="B86" t="s">
        <v>1378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-2691.1137489444864</v>
      </c>
      <c r="Q86" s="234">
        <f ca="1">Financeiros!D13</f>
        <v>-2691.1137489444864</v>
      </c>
    </row>
    <row r="87" spans="1:17" ht="15.75">
      <c r="A87" t="s">
        <v>772</v>
      </c>
      <c r="B87" t="s">
        <v>1378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772</v>
      </c>
      <c r="B88" t="s">
        <v>1378</v>
      </c>
      <c r="C88" t="str">
        <f>Financeiros!C15</f>
        <v>(Neutralidade) ESS/ERR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0</v>
      </c>
      <c r="Q88" s="234">
        <f ca="1">Financeiros!D15</f>
        <v>0</v>
      </c>
    </row>
    <row r="89" spans="1:17" ht="15.75">
      <c r="A89" t="s">
        <v>772</v>
      </c>
      <c r="B89" t="s">
        <v>1378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-1175.0322466898426</v>
      </c>
      <c r="Q89" s="234">
        <f ca="1">Financeiros!D16</f>
        <v>-1175.0322466898426</v>
      </c>
    </row>
    <row r="90" spans="1:17" ht="15.75">
      <c r="A90" t="s">
        <v>772</v>
      </c>
      <c r="B90" t="s">
        <v>1378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772</v>
      </c>
      <c r="B91" t="s">
        <v>1378</v>
      </c>
      <c r="C91" t="str">
        <f>Financeiros!C18</f>
        <v>(Neutralidade)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999</v>
      </c>
      <c r="I91">
        <f>Financeiros!I18</f>
        <v>4</v>
      </c>
      <c r="J91">
        <f>Financeiros!J18</f>
        <v>999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772</v>
      </c>
      <c r="B92" t="s">
        <v>1378</v>
      </c>
      <c r="C92" t="str">
        <f>Financeiros!C19</f>
        <v>Ajuste CUST RB + PIS Cofins RB</v>
      </c>
      <c r="D92">
        <v>2</v>
      </c>
      <c r="E92">
        <v>2</v>
      </c>
      <c r="F92">
        <f>Financeiros!F19</f>
        <v>22</v>
      </c>
      <c r="G92">
        <f>Financeiros!G19</f>
        <v>60</v>
      </c>
      <c r="H92">
        <f>Financeiros!H19</f>
        <v>999</v>
      </c>
      <c r="I92">
        <f>Financeiros!I19</f>
        <v>1</v>
      </c>
      <c r="J92">
        <f>Financeiros!J19</f>
        <v>1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si="2"/>
        <v>0</v>
      </c>
      <c r="Q92" s="234">
        <f>Financeiros!D19</f>
        <v>0</v>
      </c>
    </row>
    <row r="93" spans="1:17" ht="15.75">
      <c r="A93" t="s">
        <v>772</v>
      </c>
      <c r="B93" t="s">
        <v>1378</v>
      </c>
      <c r="C93" t="str">
        <f>Financeiros!C20</f>
        <v>Ajuste CUST RB Fronteira + PIS Cofins RB Fronteira</v>
      </c>
      <c r="D93">
        <v>2</v>
      </c>
      <c r="E93">
        <v>2</v>
      </c>
      <c r="F93">
        <f>Financeiros!F20</f>
        <v>22</v>
      </c>
      <c r="G93">
        <f>Financeiros!G20</f>
        <v>60</v>
      </c>
      <c r="H93">
        <f>Financeiros!H20</f>
        <v>999</v>
      </c>
      <c r="I93">
        <f>Financeiros!I20</f>
        <v>1</v>
      </c>
      <c r="J93">
        <f>Financeiros!J20</f>
        <v>2</v>
      </c>
      <c r="K93">
        <f>Financeiros!K20</f>
        <v>9</v>
      </c>
      <c r="L93">
        <v>99</v>
      </c>
      <c r="M93">
        <v>9</v>
      </c>
      <c r="N93">
        <v>3</v>
      </c>
      <c r="O93">
        <v>99999</v>
      </c>
      <c r="P93" s="234">
        <f t="shared" si="2"/>
        <v>0</v>
      </c>
      <c r="Q93" s="234">
        <f>Financeiros!D20</f>
        <v>0</v>
      </c>
    </row>
    <row r="94" spans="1:17" ht="15.75">
      <c r="A94" t="s">
        <v>772</v>
      </c>
      <c r="B94" t="s">
        <v>1378</v>
      </c>
      <c r="C94" t="str">
        <f>Financeiros!C21</f>
        <v>Manual de Contabilidade do Setor Elétrico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167</v>
      </c>
      <c r="I94">
        <f>Financeiros!I21</f>
        <v>4</v>
      </c>
      <c r="J94">
        <f>Financeiros!J21</f>
        <v>999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0</v>
      </c>
      <c r="Q94" s="234">
        <f>Financeiros!D21</f>
        <v>0</v>
      </c>
    </row>
    <row r="95" spans="1:17" ht="15.75">
      <c r="A95" t="s">
        <v>772</v>
      </c>
      <c r="B95" t="s">
        <v>1378</v>
      </c>
      <c r="C95">
        <f>Financeiros!C22</f>
        <v>0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194</v>
      </c>
      <c r="I95">
        <f>Financeiros!I22</f>
        <v>99</v>
      </c>
      <c r="J95">
        <f>Financeiros!J22</f>
        <v>999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0</v>
      </c>
      <c r="Q95" s="234">
        <f>Financeiros!D22</f>
        <v>0</v>
      </c>
    </row>
    <row r="96" spans="1:17" ht="15.75">
      <c r="A96" t="s">
        <v>772</v>
      </c>
      <c r="B96" t="s">
        <v>1378</v>
      </c>
      <c r="C96" t="str">
        <f>Financeiros!C23</f>
        <v>Ajustes Processos anteriores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999</v>
      </c>
      <c r="I96">
        <f>Financeiros!I23</f>
        <v>2</v>
      </c>
      <c r="J96">
        <f>Financeiros!J23</f>
        <v>30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s="402" t="s">
        <v>772</v>
      </c>
      <c r="B97" s="402" t="s">
        <v>1378</v>
      </c>
      <c r="C97" s="402" t="str">
        <f>Financeiros!C24</f>
        <v>Ajuste CUST + PISCONFINS Transmissão</v>
      </c>
      <c r="D97" s="402">
        <v>2</v>
      </c>
      <c r="E97" s="402">
        <v>2</v>
      </c>
      <c r="F97" s="402">
        <v>999</v>
      </c>
      <c r="G97" s="402">
        <v>999999</v>
      </c>
      <c r="H97" s="402">
        <v>999</v>
      </c>
      <c r="I97" s="402">
        <v>99</v>
      </c>
      <c r="J97" s="402">
        <v>999</v>
      </c>
      <c r="K97" s="402">
        <v>9</v>
      </c>
      <c r="L97" s="402">
        <v>99</v>
      </c>
      <c r="M97">
        <v>9</v>
      </c>
      <c r="N97" s="402">
        <v>3</v>
      </c>
      <c r="O97" s="402">
        <v>99999</v>
      </c>
      <c r="P97" s="403">
        <f t="shared" si="2"/>
        <v>0</v>
      </c>
      <c r="Q97" s="403">
        <v>0</v>
      </c>
    </row>
    <row r="98" spans="1:17" ht="15.75">
      <c r="A98" t="s">
        <v>772</v>
      </c>
      <c r="B98" t="s">
        <v>1378</v>
      </c>
      <c r="C98" t="str">
        <f>Financeiros!C25</f>
        <v>Compensação DIC FIC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178</v>
      </c>
      <c r="I98">
        <f>Financeiros!I25</f>
        <v>1</v>
      </c>
      <c r="J98">
        <f>Financeiros!J25</f>
        <v>7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0</v>
      </c>
      <c r="Q98" s="234">
        <f>Financeiros!D25</f>
        <v>0</v>
      </c>
    </row>
    <row r="99" spans="1:17" ht="15.75">
      <c r="A99" t="s">
        <v>772</v>
      </c>
      <c r="B99" t="s">
        <v>1378</v>
      </c>
      <c r="C99" t="str">
        <f>Financeiros!C26</f>
        <v>Subvenção CDE</v>
      </c>
      <c r="D99">
        <v>2</v>
      </c>
      <c r="E99">
        <v>2</v>
      </c>
      <c r="F99">
        <f>Financeiros!F26</f>
        <v>22</v>
      </c>
      <c r="G99">
        <f>Financeiros!G26</f>
        <v>60</v>
      </c>
      <c r="H99">
        <f>Financeiros!H26</f>
        <v>999</v>
      </c>
      <c r="I99">
        <f>Financeiros!I26</f>
        <v>4</v>
      </c>
      <c r="J99">
        <f>Financeiros!J26</f>
        <v>999</v>
      </c>
      <c r="K99">
        <f>Financeiros!K26</f>
        <v>9</v>
      </c>
      <c r="L99">
        <v>99</v>
      </c>
      <c r="M99">
        <v>9</v>
      </c>
      <c r="N99">
        <v>3</v>
      </c>
      <c r="O99">
        <v>99999</v>
      </c>
      <c r="P99" s="234">
        <f t="shared" ca="1" si="2"/>
        <v>-1029915.1601314496</v>
      </c>
      <c r="Q99" s="234">
        <f ca="1">Financeiros!D26</f>
        <v>-1029915.1601314496</v>
      </c>
    </row>
    <row r="100" spans="1:17" ht="15.75">
      <c r="A100" t="s">
        <v>772</v>
      </c>
      <c r="B100" t="s">
        <v>1378</v>
      </c>
      <c r="C100" t="str">
        <f>Financeiros!C27</f>
        <v>Retenção de Adicionais de Bandeiras Tarifárias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999</v>
      </c>
      <c r="I100">
        <f>Financeiros!I27</f>
        <v>2</v>
      </c>
      <c r="J100">
        <f>Financeiros!J27</f>
        <v>30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ref="P100:P110" si="3">IF(ISNUMBER(Q100),Q100,0)</f>
        <v>0</v>
      </c>
      <c r="Q100" s="234">
        <f>Financeiros!D27</f>
        <v>0</v>
      </c>
    </row>
    <row r="101" spans="1:17" ht="15.75">
      <c r="A101" t="s">
        <v>772</v>
      </c>
      <c r="B101" t="s">
        <v>1378</v>
      </c>
      <c r="C101" t="str">
        <f>Financeiros!C28</f>
        <v>Multa LPT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120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si="3"/>
        <v>0</v>
      </c>
      <c r="Q101" s="234">
        <f>Financeiros!D28</f>
        <v>0</v>
      </c>
    </row>
    <row r="102" spans="1:17" ht="15.75">
      <c r="A102" t="s">
        <v>772</v>
      </c>
      <c r="B102" t="s">
        <v>1378</v>
      </c>
      <c r="C102" t="str">
        <f>Financeiros!C30</f>
        <v>Repasse de ICMS CUSD</v>
      </c>
      <c r="D102">
        <v>2</v>
      </c>
      <c r="E102">
        <v>2</v>
      </c>
      <c r="F102">
        <f>Financeiros!F30</f>
        <v>22</v>
      </c>
      <c r="G102">
        <f>Financeiros!G30</f>
        <v>60</v>
      </c>
      <c r="H102">
        <f>Financeiros!H30</f>
        <v>999</v>
      </c>
      <c r="I102">
        <f>Financeiros!I30</f>
        <v>1</v>
      </c>
      <c r="J102">
        <f>Financeiros!J30</f>
        <v>7</v>
      </c>
      <c r="K102">
        <f>Financeiros!K30</f>
        <v>9</v>
      </c>
      <c r="L102">
        <v>99</v>
      </c>
      <c r="M102">
        <v>9</v>
      </c>
      <c r="N102">
        <v>3</v>
      </c>
      <c r="O102">
        <v>99999</v>
      </c>
      <c r="P102" s="234">
        <f t="shared" ca="1" si="3"/>
        <v>0</v>
      </c>
      <c r="Q102" s="234">
        <f ca="1">Financeiros!D30</f>
        <v>0</v>
      </c>
    </row>
    <row r="103" spans="1:17" ht="15.75">
      <c r="A103" t="s">
        <v>772</v>
      </c>
      <c r="B103" t="s">
        <v>1378</v>
      </c>
      <c r="C103" t="str">
        <f>Financeiros!C31</f>
        <v>Repasse de ICMS TE</v>
      </c>
      <c r="D103">
        <v>2</v>
      </c>
      <c r="E103">
        <v>2</v>
      </c>
      <c r="F103">
        <f>Financeiros!F31</f>
        <v>22</v>
      </c>
      <c r="G103">
        <f>Financeiros!G31</f>
        <v>60</v>
      </c>
      <c r="H103">
        <f>Financeiros!H31</f>
        <v>999</v>
      </c>
      <c r="I103">
        <f>Financeiros!I31</f>
        <v>2</v>
      </c>
      <c r="J103">
        <f>Financeiros!J31</f>
        <v>30</v>
      </c>
      <c r="K103">
        <f>Financeiros!K31</f>
        <v>9</v>
      </c>
      <c r="L103">
        <v>99</v>
      </c>
      <c r="M103">
        <v>9</v>
      </c>
      <c r="N103">
        <v>3</v>
      </c>
      <c r="O103">
        <v>99999</v>
      </c>
      <c r="P103" s="234">
        <f t="shared" ca="1" si="3"/>
        <v>0</v>
      </c>
      <c r="Q103" s="234">
        <f ca="1">Financeiros!D31</f>
        <v>0</v>
      </c>
    </row>
    <row r="104" spans="1:17" ht="15.75">
      <c r="A104" t="s">
        <v>772</v>
      </c>
      <c r="B104" t="s">
        <v>1378</v>
      </c>
      <c r="C104" t="str">
        <f>Financeiros!C32</f>
        <v>Ressarcimento P&amp;D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231</v>
      </c>
      <c r="I104">
        <f>Financeiros!I32</f>
        <v>3</v>
      </c>
      <c r="J104">
        <f>Financeiros!J32</f>
        <v>19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si="3"/>
        <v>0</v>
      </c>
      <c r="Q104" s="234">
        <f>Financeiros!D32</f>
        <v>0</v>
      </c>
    </row>
    <row r="105" spans="1:17" ht="15.75">
      <c r="A105" t="s">
        <v>772</v>
      </c>
      <c r="B105" t="s">
        <v>1378</v>
      </c>
      <c r="C105" t="str">
        <f>Financeiros!C33</f>
        <v>Efeito Conta COVID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235</v>
      </c>
      <c r="I105">
        <f>Financeiros!I33</f>
        <v>4</v>
      </c>
      <c r="J105">
        <f>Financeiros!J33</f>
        <v>999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si="3"/>
        <v>0</v>
      </c>
      <c r="Q105" s="234">
        <f>Financeiros!D33</f>
        <v>0</v>
      </c>
    </row>
    <row r="106" spans="1:17" ht="15.75">
      <c r="A106" t="s">
        <v>772</v>
      </c>
      <c r="B106" t="s">
        <v>1378</v>
      </c>
      <c r="C106" t="str">
        <f>Financeiros!C34</f>
        <v>Previsão de Risco Hidrologico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220</v>
      </c>
      <c r="I106">
        <f>Financeiros!I34</f>
        <v>2</v>
      </c>
      <c r="J106">
        <f>Financeiros!J34</f>
        <v>30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3"/>
        <v>0</v>
      </c>
      <c r="Q106" s="234">
        <f>Financeiros!D34</f>
        <v>0</v>
      </c>
    </row>
    <row r="107" spans="1:17" ht="15.75">
      <c r="A107" t="s">
        <v>772</v>
      </c>
      <c r="B107" t="s">
        <v>1378</v>
      </c>
      <c r="C107" t="str">
        <f>Financeiros!C35</f>
        <v>Efeito COVID da Supridora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999</v>
      </c>
      <c r="I107">
        <f>Financeiros!I35</f>
        <v>2</v>
      </c>
      <c r="J107">
        <f>Financeiros!J35</f>
        <v>30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3"/>
        <v>0</v>
      </c>
      <c r="Q107" s="234">
        <f>Financeiros!D35</f>
        <v>0</v>
      </c>
    </row>
    <row r="108" spans="1:17" ht="15.75">
      <c r="A108" t="s">
        <v>772</v>
      </c>
      <c r="B108" t="s">
        <v>1378</v>
      </c>
      <c r="C108" t="str">
        <f>Financeiros!C36</f>
        <v>Crédito de Pis Cofins sobre ICMS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179</v>
      </c>
      <c r="I108">
        <f>Financeiros!I36</f>
        <v>99</v>
      </c>
      <c r="J108">
        <f>Financeiros!J36</f>
        <v>999</v>
      </c>
      <c r="K108">
        <f>Financeiros!K36</f>
        <v>3</v>
      </c>
      <c r="L108">
        <v>99</v>
      </c>
      <c r="M108">
        <v>9</v>
      </c>
      <c r="N108">
        <v>3</v>
      </c>
      <c r="O108">
        <v>99999</v>
      </c>
      <c r="P108" s="234">
        <f t="shared" si="3"/>
        <v>0</v>
      </c>
      <c r="Q108" s="234">
        <f>Financeiros!D36</f>
        <v>0</v>
      </c>
    </row>
    <row r="109" spans="1:17" ht="15.75">
      <c r="A109" t="s">
        <v>772</v>
      </c>
      <c r="B109" t="s">
        <v>1378</v>
      </c>
      <c r="C109" t="str">
        <f>Financeiros!C37</f>
        <v>Diferimento Pis Cofins TUSD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1</v>
      </c>
      <c r="J109">
        <f>Financeiros!J37</f>
        <v>7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3"/>
        <v>0</v>
      </c>
      <c r="Q109" s="234">
        <f>Financeiros!D37</f>
        <v>0</v>
      </c>
    </row>
    <row r="110" spans="1:17" ht="15.75">
      <c r="A110" t="s">
        <v>772</v>
      </c>
      <c r="B110" t="s">
        <v>1378</v>
      </c>
      <c r="C110" t="str">
        <f>Financeiros!C38</f>
        <v>Diferimento de Energia - Pleito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999</v>
      </c>
      <c r="I110">
        <f>Financeiros!I38</f>
        <v>2</v>
      </c>
      <c r="J110">
        <f>Financeiros!J38</f>
        <v>30</v>
      </c>
      <c r="K110">
        <f>Financeiros!K38</f>
        <v>9</v>
      </c>
      <c r="L110">
        <v>99</v>
      </c>
      <c r="M110">
        <v>9</v>
      </c>
      <c r="N110">
        <v>3</v>
      </c>
      <c r="O110">
        <v>99999</v>
      </c>
      <c r="P110" s="234">
        <f t="shared" si="3"/>
        <v>-280000</v>
      </c>
      <c r="Q110" s="234">
        <f>Financeiros!D38</f>
        <v>-280000</v>
      </c>
    </row>
    <row r="111" spans="1:17" ht="15.75">
      <c r="A111" t="s">
        <v>772</v>
      </c>
      <c r="B111" t="s">
        <v>1378</v>
      </c>
      <c r="C111" t="str">
        <f>Financeiros!C39</f>
        <v>Financeiros associados ao §7º do Art. 88 da Ren 414/2021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2</v>
      </c>
      <c r="J111">
        <f>Financeiros!J39</f>
        <v>30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2"/>
        <v>0</v>
      </c>
      <c r="Q111" s="234">
        <f>Financeiros!D39</f>
        <v>0</v>
      </c>
    </row>
    <row r="112" spans="1:17" ht="15.75">
      <c r="A112" t="s">
        <v>772</v>
      </c>
      <c r="B112" t="s">
        <v>1378</v>
      </c>
      <c r="C112">
        <f>Financeiros!C40</f>
        <v>0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99</v>
      </c>
      <c r="J112">
        <f>Financeiros!J40</f>
        <v>999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ref="P112:P114" si="4">IF(ISNUMBER(Q112),Q112,0)</f>
        <v>0</v>
      </c>
      <c r="Q112" s="234">
        <f>Financeiros!D40</f>
        <v>0</v>
      </c>
    </row>
    <row r="113" spans="1:17" ht="15.75">
      <c r="A113" t="s">
        <v>772</v>
      </c>
      <c r="B113" t="s">
        <v>1378</v>
      </c>
      <c r="C113" t="str">
        <f>Financeiros!C41</f>
        <v>Reversão Postergação Covid Tusd em 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196</v>
      </c>
      <c r="I113">
        <f>Financeiros!I41</f>
        <v>99</v>
      </c>
      <c r="J113">
        <f>Financeiros!J41</f>
        <v>999</v>
      </c>
      <c r="K113">
        <f>Financeiros!K41</f>
        <v>1</v>
      </c>
      <c r="L113">
        <v>99</v>
      </c>
      <c r="M113">
        <v>9</v>
      </c>
      <c r="N113">
        <v>3</v>
      </c>
      <c r="O113">
        <v>99999</v>
      </c>
      <c r="P113" s="234">
        <f t="shared" si="4"/>
        <v>-9235.4301805769537</v>
      </c>
      <c r="Q113" s="234">
        <f>Financeiros!D41</f>
        <v>-9235.4301805769537</v>
      </c>
    </row>
    <row r="114" spans="1:17" ht="15.75">
      <c r="A114" t="s">
        <v>772</v>
      </c>
      <c r="B114" t="s">
        <v>1378</v>
      </c>
      <c r="C114" t="str">
        <f>Financeiros!C42</f>
        <v>Reversão Postergação Covid TE em 2021</v>
      </c>
      <c r="D114">
        <v>2</v>
      </c>
      <c r="E114">
        <v>2</v>
      </c>
      <c r="F114">
        <f>Financeiros!F42</f>
        <v>22</v>
      </c>
      <c r="G114">
        <f>Financeiros!G42</f>
        <v>60</v>
      </c>
      <c r="H114">
        <f>Financeiros!H42</f>
        <v>196</v>
      </c>
      <c r="I114">
        <f>Financeiros!I42</f>
        <v>99</v>
      </c>
      <c r="J114">
        <f>Financeiros!J42</f>
        <v>999</v>
      </c>
      <c r="K114">
        <f>Financeiros!K42</f>
        <v>2</v>
      </c>
      <c r="L114">
        <v>99</v>
      </c>
      <c r="M114">
        <v>9</v>
      </c>
      <c r="N114">
        <v>3</v>
      </c>
      <c r="O114">
        <v>99999</v>
      </c>
      <c r="P114" s="234">
        <f t="shared" si="4"/>
        <v>30125.72108743199</v>
      </c>
      <c r="Q114" s="234">
        <f>Financeiros!D42</f>
        <v>30125.72108743199</v>
      </c>
    </row>
    <row r="115" spans="1:17" ht="15.75">
      <c r="A115" t="s">
        <v>772</v>
      </c>
      <c r="B115" t="s">
        <v>1378</v>
      </c>
      <c r="C115" t="str">
        <f>Financeiros!C10</f>
        <v>Repasse de PIS COFINS CUSD</v>
      </c>
      <c r="D115">
        <v>2</v>
      </c>
      <c r="E115">
        <v>2</v>
      </c>
      <c r="F115">
        <f>Financeiros!F10</f>
        <v>22</v>
      </c>
      <c r="G115">
        <f>Financeiros!G10</f>
        <v>60</v>
      </c>
      <c r="H115">
        <f>Financeiros!H10</f>
        <v>999</v>
      </c>
      <c r="I115">
        <f>Financeiros!I10</f>
        <v>1</v>
      </c>
      <c r="J115">
        <f>Financeiros!J10</f>
        <v>7</v>
      </c>
      <c r="K115">
        <f>Financeiros!K10</f>
        <v>9</v>
      </c>
      <c r="L115">
        <v>99</v>
      </c>
      <c r="M115">
        <v>9</v>
      </c>
      <c r="N115">
        <v>4</v>
      </c>
      <c r="O115">
        <v>99999</v>
      </c>
      <c r="P115" s="234">
        <f t="shared" ca="1" si="2"/>
        <v>6.1208778498760838E-3</v>
      </c>
      <c r="Q115" s="234">
        <f ca="1">Financeiros!E10</f>
        <v>6.1208778498760838E-3</v>
      </c>
    </row>
    <row r="116" spans="1:17" ht="15.75">
      <c r="A116" t="s">
        <v>772</v>
      </c>
      <c r="B116" t="s">
        <v>1378</v>
      </c>
      <c r="C116" t="str">
        <f>Financeiros!C11</f>
        <v>Repasse de PIS COFINS TE</v>
      </c>
      <c r="D116">
        <v>2</v>
      </c>
      <c r="E116">
        <v>2</v>
      </c>
      <c r="F116">
        <f>Financeiros!F11</f>
        <v>22</v>
      </c>
      <c r="G116">
        <f>Financeiros!G11</f>
        <v>60</v>
      </c>
      <c r="H116">
        <f>Financeiros!H11</f>
        <v>999</v>
      </c>
      <c r="I116">
        <f>Financeiros!I11</f>
        <v>2</v>
      </c>
      <c r="J116">
        <f>Financeiros!J11</f>
        <v>30</v>
      </c>
      <c r="K116">
        <f>Financeiros!K11</f>
        <v>9</v>
      </c>
      <c r="L116">
        <v>99</v>
      </c>
      <c r="M116">
        <v>9</v>
      </c>
      <c r="N116">
        <v>4</v>
      </c>
      <c r="O116">
        <v>99999</v>
      </c>
      <c r="P116" s="234">
        <f t="shared" ca="1" si="2"/>
        <v>1.4424288780219997E-2</v>
      </c>
      <c r="Q116" s="234">
        <f ca="1">Financeiros!E11</f>
        <v>1.4424288780219997E-2</v>
      </c>
    </row>
    <row r="117" spans="1:17" ht="15.75">
      <c r="A117" t="s">
        <v>772</v>
      </c>
      <c r="B117" t="s">
        <v>1378</v>
      </c>
      <c r="C117" t="str">
        <f>Financeiros!C12</f>
        <v>(Neutralidade) TFSEE</v>
      </c>
      <c r="D117">
        <v>2</v>
      </c>
      <c r="E117">
        <v>2</v>
      </c>
      <c r="F117">
        <f>Financeiros!F12</f>
        <v>20</v>
      </c>
      <c r="G117">
        <f>Financeiros!G12</f>
        <v>60</v>
      </c>
      <c r="H117">
        <f>Financeiros!H12</f>
        <v>20</v>
      </c>
      <c r="I117">
        <f>Financeiros!I12</f>
        <v>3</v>
      </c>
      <c r="J117">
        <f>Financeiros!J12</f>
        <v>14</v>
      </c>
      <c r="K117">
        <f>Financeiros!K12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-1.013541929741431E-4</v>
      </c>
      <c r="Q117" s="249">
        <f ca="1">Financeiros!E12</f>
        <v>-1.013541929741431E-4</v>
      </c>
    </row>
    <row r="118" spans="1:17" ht="15.75">
      <c r="A118" t="s">
        <v>772</v>
      </c>
      <c r="B118" t="s">
        <v>1378</v>
      </c>
      <c r="C118" t="str">
        <f>Financeiros!C13</f>
        <v>(Neutralidade) CDE</v>
      </c>
      <c r="D118">
        <v>2</v>
      </c>
      <c r="E118">
        <v>2</v>
      </c>
      <c r="F118">
        <f>Financeiros!F13</f>
        <v>20</v>
      </c>
      <c r="G118">
        <f>Financeiros!G13</f>
        <v>60</v>
      </c>
      <c r="H118">
        <f>Financeiros!H13</f>
        <v>20</v>
      </c>
      <c r="I118">
        <f>Financeiros!I13</f>
        <v>3</v>
      </c>
      <c r="J118">
        <f>Financeiros!J13</f>
        <v>15</v>
      </c>
      <c r="K118">
        <f>Financeiros!K13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-3.1042286436107239E-4</v>
      </c>
      <c r="Q118" s="249">
        <f ca="1">Financeiros!E13</f>
        <v>-3.1042286436107239E-4</v>
      </c>
    </row>
    <row r="119" spans="1:17" ht="15.75">
      <c r="A119" t="s">
        <v>772</v>
      </c>
      <c r="B119" t="s">
        <v>1378</v>
      </c>
      <c r="C119" t="str">
        <f>Financeiros!C14</f>
        <v>(Neutralidade) CFURH</v>
      </c>
      <c r="D119">
        <v>2</v>
      </c>
      <c r="E119">
        <v>2</v>
      </c>
      <c r="F119">
        <f>Financeiros!F14</f>
        <v>20</v>
      </c>
      <c r="G119">
        <f>Financeiros!G14</f>
        <v>60</v>
      </c>
      <c r="H119">
        <f>Financeiros!H14</f>
        <v>20</v>
      </c>
      <c r="I119">
        <f>Financeiros!I14</f>
        <v>3</v>
      </c>
      <c r="J119">
        <f>Financeiros!J14</f>
        <v>16</v>
      </c>
      <c r="K119">
        <f>Financeiros!K14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0</v>
      </c>
      <c r="Q119" s="249">
        <f ca="1">Financeiros!E14</f>
        <v>0</v>
      </c>
    </row>
    <row r="120" spans="1:17" ht="15.75">
      <c r="A120" t="s">
        <v>772</v>
      </c>
      <c r="B120" t="s">
        <v>1378</v>
      </c>
      <c r="C120" t="str">
        <f>Financeiros!C15</f>
        <v>(Neutralidade) ESS/ERR</v>
      </c>
      <c r="D120">
        <v>2</v>
      </c>
      <c r="E120">
        <v>2</v>
      </c>
      <c r="F120">
        <f>Financeiros!F15</f>
        <v>20</v>
      </c>
      <c r="G120">
        <f>Financeiros!G15</f>
        <v>60</v>
      </c>
      <c r="H120">
        <f>Financeiros!H15</f>
        <v>20</v>
      </c>
      <c r="I120">
        <f>Financeiros!I15</f>
        <v>3</v>
      </c>
      <c r="J120">
        <f>Financeiros!J15</f>
        <v>17</v>
      </c>
      <c r="K120">
        <f>Financeiros!K15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0</v>
      </c>
      <c r="Q120" s="249">
        <f ca="1">Financeiros!E15</f>
        <v>0</v>
      </c>
    </row>
    <row r="121" spans="1:17" ht="15.75">
      <c r="A121" t="s">
        <v>772</v>
      </c>
      <c r="B121" t="s">
        <v>1378</v>
      </c>
      <c r="C121" t="str">
        <f>Financeiros!C16</f>
        <v>(Neutralidade) PROINFA</v>
      </c>
      <c r="D121">
        <v>2</v>
      </c>
      <c r="E121">
        <v>2</v>
      </c>
      <c r="F121">
        <f>Financeiros!F16</f>
        <v>20</v>
      </c>
      <c r="G121">
        <f>Financeiros!G16</f>
        <v>60</v>
      </c>
      <c r="H121">
        <f>Financeiros!H16</f>
        <v>20</v>
      </c>
      <c r="I121">
        <f>Financeiros!I16</f>
        <v>3</v>
      </c>
      <c r="J121">
        <f>Financeiros!J16</f>
        <v>18</v>
      </c>
      <c r="K121">
        <f>Financeiros!K16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-1.3554123302188649E-4</v>
      </c>
      <c r="Q121" s="249">
        <f ca="1">Financeiros!E16</f>
        <v>-1.3554123302188649E-4</v>
      </c>
    </row>
    <row r="122" spans="1:17" ht="15.75">
      <c r="A122" t="s">
        <v>772</v>
      </c>
      <c r="B122" t="s">
        <v>1378</v>
      </c>
      <c r="C122" t="str">
        <f>Financeiros!C17</f>
        <v>(Neutralidade) P&amp;D e PEE</v>
      </c>
      <c r="D122">
        <v>2</v>
      </c>
      <c r="E122">
        <v>2</v>
      </c>
      <c r="F122">
        <f>Financeiros!F17</f>
        <v>20</v>
      </c>
      <c r="G122">
        <f>Financeiros!G17</f>
        <v>60</v>
      </c>
      <c r="H122">
        <f>Financeiros!H17</f>
        <v>20</v>
      </c>
      <c r="I122">
        <f>Financeiros!I17</f>
        <v>3</v>
      </c>
      <c r="J122">
        <f>Financeiros!J17</f>
        <v>19</v>
      </c>
      <c r="K122">
        <f>Financeiros!K17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0</v>
      </c>
      <c r="Q122" s="249">
        <f ca="1">Financeiros!E17</f>
        <v>0</v>
      </c>
    </row>
    <row r="123" spans="1:17" ht="15.75">
      <c r="A123" t="s">
        <v>772</v>
      </c>
      <c r="B123" t="s">
        <v>1378</v>
      </c>
      <c r="C123" t="str">
        <f>Financeiros!C18</f>
        <v>(Neutralidade) conta covid-19</v>
      </c>
      <c r="D123">
        <v>2</v>
      </c>
      <c r="E123">
        <v>2</v>
      </c>
      <c r="F123">
        <f>Financeiros!F18</f>
        <v>20</v>
      </c>
      <c r="G123">
        <f>Financeiros!G18</f>
        <v>60</v>
      </c>
      <c r="H123">
        <f>Financeiros!H18</f>
        <v>999</v>
      </c>
      <c r="I123">
        <f>Financeiros!I18</f>
        <v>4</v>
      </c>
      <c r="J123">
        <f>Financeiros!J18</f>
        <v>999</v>
      </c>
      <c r="K123">
        <f>Financeiros!K18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0</v>
      </c>
      <c r="Q123" s="249">
        <f ca="1">Financeiros!E18</f>
        <v>0</v>
      </c>
    </row>
    <row r="124" spans="1:17" ht="15.75">
      <c r="A124" t="s">
        <v>772</v>
      </c>
      <c r="B124" t="s">
        <v>1378</v>
      </c>
      <c r="C124" t="str">
        <f>Financeiros!C19</f>
        <v>Ajuste CUST RB + PIS Cofins RB</v>
      </c>
      <c r="D124">
        <v>2</v>
      </c>
      <c r="E124">
        <v>2</v>
      </c>
      <c r="F124">
        <f>Financeiros!F19</f>
        <v>22</v>
      </c>
      <c r="G124">
        <f>Financeiros!G19</f>
        <v>60</v>
      </c>
      <c r="H124">
        <f>Financeiros!H19</f>
        <v>999</v>
      </c>
      <c r="I124">
        <f>Financeiros!I19</f>
        <v>1</v>
      </c>
      <c r="J124">
        <f>Financeiros!J19</f>
        <v>1</v>
      </c>
      <c r="K124">
        <f>Financeiros!K19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Financeiros!E19</f>
        <v>0</v>
      </c>
    </row>
    <row r="125" spans="1:17" ht="15.75">
      <c r="A125" t="s">
        <v>772</v>
      </c>
      <c r="B125" t="s">
        <v>1378</v>
      </c>
      <c r="C125" t="str">
        <f>Financeiros!C20</f>
        <v>Ajuste CUST RB Fronteira + PIS Cofins RB Fronteira</v>
      </c>
      <c r="D125">
        <v>2</v>
      </c>
      <c r="E125">
        <v>2</v>
      </c>
      <c r="F125">
        <f>Financeiros!F20</f>
        <v>22</v>
      </c>
      <c r="G125">
        <f>Financeiros!G20</f>
        <v>60</v>
      </c>
      <c r="H125">
        <f>Financeiros!H20</f>
        <v>999</v>
      </c>
      <c r="I125">
        <f>Financeiros!I20</f>
        <v>1</v>
      </c>
      <c r="J125">
        <f>Financeiros!J20</f>
        <v>2</v>
      </c>
      <c r="K125">
        <f>Financeiros!K20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Financeiros!E20</f>
        <v>0</v>
      </c>
    </row>
    <row r="126" spans="1:17" ht="15.75">
      <c r="A126" t="s">
        <v>772</v>
      </c>
      <c r="B126" t="s">
        <v>1378</v>
      </c>
      <c r="C126" t="str">
        <f>Financeiros!C21</f>
        <v>Manual de Contabilidade do Setor Elétrico</v>
      </c>
      <c r="D126">
        <v>2</v>
      </c>
      <c r="E126">
        <v>2</v>
      </c>
      <c r="F126">
        <f>Financeiros!F21</f>
        <v>22</v>
      </c>
      <c r="G126">
        <f>Financeiros!G21</f>
        <v>60</v>
      </c>
      <c r="H126">
        <f>Financeiros!H21</f>
        <v>167</v>
      </c>
      <c r="I126">
        <f>Financeiros!I21</f>
        <v>4</v>
      </c>
      <c r="J126">
        <f>Financeiros!J21</f>
        <v>999</v>
      </c>
      <c r="K126">
        <f>Financeiros!K21</f>
        <v>9</v>
      </c>
      <c r="L126">
        <v>99</v>
      </c>
      <c r="M126">
        <v>9</v>
      </c>
      <c r="N126">
        <v>4</v>
      </c>
      <c r="O126">
        <v>99999</v>
      </c>
      <c r="P126" s="234">
        <f t="shared" ca="1" si="2"/>
        <v>0</v>
      </c>
      <c r="Q126" s="249">
        <f ca="1">Financeiros!E21</f>
        <v>0</v>
      </c>
    </row>
    <row r="127" spans="1:17" ht="15.75">
      <c r="A127" t="s">
        <v>772</v>
      </c>
      <c r="B127" t="s">
        <v>1378</v>
      </c>
      <c r="C127">
        <f>Financeiros!C22</f>
        <v>0</v>
      </c>
      <c r="D127">
        <v>2</v>
      </c>
      <c r="E127">
        <v>2</v>
      </c>
      <c r="F127">
        <f>Financeiros!F22</f>
        <v>22</v>
      </c>
      <c r="G127">
        <f>Financeiros!G22</f>
        <v>60</v>
      </c>
      <c r="H127">
        <f>Financeiros!H22</f>
        <v>194</v>
      </c>
      <c r="I127">
        <f>Financeiros!I22</f>
        <v>99</v>
      </c>
      <c r="J127">
        <f>Financeiros!J22</f>
        <v>999</v>
      </c>
      <c r="K127">
        <f>Financeiros!K22</f>
        <v>9</v>
      </c>
      <c r="L127">
        <v>99</v>
      </c>
      <c r="M127">
        <v>9</v>
      </c>
      <c r="N127">
        <v>4</v>
      </c>
      <c r="O127">
        <v>99999</v>
      </c>
      <c r="P127" s="234">
        <f t="shared" ca="1" si="2"/>
        <v>0</v>
      </c>
      <c r="Q127" s="249">
        <f ca="1">Financeiros!E22</f>
        <v>0</v>
      </c>
    </row>
    <row r="128" spans="1:17" ht="15.75">
      <c r="A128" s="1036" t="s">
        <v>772</v>
      </c>
      <c r="B128" s="1036" t="s">
        <v>1378</v>
      </c>
      <c r="C128" s="1036" t="str">
        <f>Financeiros!C24</f>
        <v>Ajuste CUST + PISCONFINS Transmissão</v>
      </c>
      <c r="D128" s="1036">
        <v>2</v>
      </c>
      <c r="E128" s="1036">
        <v>2</v>
      </c>
      <c r="F128" s="1036">
        <v>22</v>
      </c>
      <c r="G128" s="1036">
        <v>60</v>
      </c>
      <c r="H128" s="1036">
        <v>196</v>
      </c>
      <c r="I128" s="1036">
        <v>99</v>
      </c>
      <c r="J128" s="1036">
        <v>999</v>
      </c>
      <c r="K128" s="1036">
        <v>1</v>
      </c>
      <c r="L128" s="1036">
        <v>99</v>
      </c>
      <c r="M128">
        <v>9</v>
      </c>
      <c r="N128" s="1036">
        <v>4</v>
      </c>
      <c r="O128" s="1036">
        <v>99999</v>
      </c>
      <c r="P128" s="1037">
        <f t="shared" si="2"/>
        <v>0</v>
      </c>
      <c r="Q128" s="1038">
        <v>0</v>
      </c>
    </row>
    <row r="129" spans="1:17" ht="15.75">
      <c r="A129" t="s">
        <v>772</v>
      </c>
      <c r="B129" t="s">
        <v>1378</v>
      </c>
      <c r="C129" t="str">
        <f>Financeiros!C25</f>
        <v>Compensação DIC FIC</v>
      </c>
      <c r="D129">
        <v>2</v>
      </c>
      <c r="E129">
        <v>2</v>
      </c>
      <c r="F129">
        <f>Financeiros!F25</f>
        <v>22</v>
      </c>
      <c r="G129">
        <f>Financeiros!G25</f>
        <v>60</v>
      </c>
      <c r="H129">
        <f>Financeiros!H25</f>
        <v>178</v>
      </c>
      <c r="I129">
        <f>Financeiros!I25</f>
        <v>1</v>
      </c>
      <c r="J129">
        <f>Financeiros!J25</f>
        <v>7</v>
      </c>
      <c r="K129">
        <f>Financeiros!K25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0</v>
      </c>
      <c r="Q129" s="249">
        <f ca="1">Financeiros!E25</f>
        <v>0</v>
      </c>
    </row>
    <row r="130" spans="1:17" ht="15.75">
      <c r="A130" t="s">
        <v>772</v>
      </c>
      <c r="B130" t="s">
        <v>1378</v>
      </c>
      <c r="C130" t="str">
        <f>Financeiros!C26</f>
        <v>Subvenção CDE</v>
      </c>
      <c r="D130">
        <v>2</v>
      </c>
      <c r="E130">
        <v>2</v>
      </c>
      <c r="F130">
        <f>Financeiros!F26</f>
        <v>22</v>
      </c>
      <c r="G130">
        <f>Financeiros!G26</f>
        <v>60</v>
      </c>
      <c r="H130">
        <f>Financeiros!H26</f>
        <v>999</v>
      </c>
      <c r="I130">
        <f>Financeiros!I26</f>
        <v>4</v>
      </c>
      <c r="J130">
        <f>Financeiros!J26</f>
        <v>999</v>
      </c>
      <c r="K130">
        <f>Financeiros!K26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-0.11880182106099901</v>
      </c>
      <c r="Q130" s="249">
        <f ca="1">Financeiros!E26</f>
        <v>-0.11880182106099901</v>
      </c>
    </row>
    <row r="131" spans="1:17" ht="15.75">
      <c r="A131" t="s">
        <v>772</v>
      </c>
      <c r="B131" t="s">
        <v>1378</v>
      </c>
      <c r="C131" t="str">
        <f>Financeiros!C27</f>
        <v>Retenção de Adicionais de Bandeiras Tarifárias</v>
      </c>
      <c r="D131">
        <v>2</v>
      </c>
      <c r="E131">
        <v>2</v>
      </c>
      <c r="F131">
        <f>Financeiros!F27</f>
        <v>22</v>
      </c>
      <c r="G131">
        <f>Financeiros!G27</f>
        <v>60</v>
      </c>
      <c r="H131">
        <f>Financeiros!H27</f>
        <v>999</v>
      </c>
      <c r="I131">
        <f>Financeiros!I27</f>
        <v>2</v>
      </c>
      <c r="J131">
        <f>Financeiros!J27</f>
        <v>30</v>
      </c>
      <c r="K131">
        <f>Financeiros!K27</f>
        <v>9</v>
      </c>
      <c r="L131">
        <v>99</v>
      </c>
      <c r="M131">
        <v>9</v>
      </c>
      <c r="N131">
        <v>4</v>
      </c>
      <c r="O131">
        <v>99999</v>
      </c>
      <c r="P131" s="234">
        <f t="shared" ref="P131:P172" ca="1" si="5">IF(ISNUMBER(Q131),Q131,0)</f>
        <v>0</v>
      </c>
      <c r="Q131" s="249">
        <f ca="1">Financeiros!E27</f>
        <v>0</v>
      </c>
    </row>
    <row r="132" spans="1:17" ht="15.75">
      <c r="A132" t="s">
        <v>772</v>
      </c>
      <c r="B132" t="s">
        <v>1378</v>
      </c>
      <c r="C132" t="str">
        <f>Financeiros!C28</f>
        <v>Multa LPT</v>
      </c>
      <c r="D132">
        <v>2</v>
      </c>
      <c r="E132">
        <v>2</v>
      </c>
      <c r="F132">
        <f>Financeiros!F28</f>
        <v>22</v>
      </c>
      <c r="G132">
        <f>Financeiros!G28</f>
        <v>60</v>
      </c>
      <c r="H132">
        <f>Financeiros!H28</f>
        <v>120</v>
      </c>
      <c r="I132">
        <f>Financeiros!I28</f>
        <v>4</v>
      </c>
      <c r="J132">
        <f>Financeiros!J28</f>
        <v>999</v>
      </c>
      <c r="K132">
        <f>Financeiros!K28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5"/>
        <v>0</v>
      </c>
      <c r="Q132" s="249">
        <f ca="1">Financeiros!E28</f>
        <v>0</v>
      </c>
    </row>
    <row r="133" spans="1:17" ht="15.75">
      <c r="A133" t="s">
        <v>772</v>
      </c>
      <c r="B133" t="s">
        <v>1378</v>
      </c>
      <c r="C133" t="str">
        <f>Financeiros!C30</f>
        <v>Repasse de ICMS CUSD</v>
      </c>
      <c r="D133">
        <v>2</v>
      </c>
      <c r="E133">
        <v>2</v>
      </c>
      <c r="F133">
        <f>Financeiros!F30</f>
        <v>22</v>
      </c>
      <c r="G133">
        <f>Financeiros!G30</f>
        <v>60</v>
      </c>
      <c r="H133">
        <f>Financeiros!H30</f>
        <v>999</v>
      </c>
      <c r="I133">
        <f>Financeiros!I30</f>
        <v>1</v>
      </c>
      <c r="J133">
        <f>Financeiros!J30</f>
        <v>7</v>
      </c>
      <c r="K133">
        <f>Financeiros!K30</f>
        <v>9</v>
      </c>
      <c r="L133">
        <v>99</v>
      </c>
      <c r="M133">
        <v>9</v>
      </c>
      <c r="N133">
        <v>4</v>
      </c>
      <c r="O133">
        <v>99999</v>
      </c>
      <c r="P133" s="234">
        <f t="shared" ref="P133:P134" ca="1" si="6">IF(ISNUMBER(Q133),Q133,0)</f>
        <v>0</v>
      </c>
      <c r="Q133" s="249">
        <f ca="1">Financeiros!E30</f>
        <v>0</v>
      </c>
    </row>
    <row r="134" spans="1:17" ht="15.75">
      <c r="A134" t="s">
        <v>772</v>
      </c>
      <c r="B134" t="s">
        <v>1378</v>
      </c>
      <c r="C134" t="str">
        <f>Financeiros!C31</f>
        <v>Repasse de ICMS TE</v>
      </c>
      <c r="D134">
        <v>2</v>
      </c>
      <c r="E134">
        <v>2</v>
      </c>
      <c r="F134">
        <f>Financeiros!F31</f>
        <v>22</v>
      </c>
      <c r="G134">
        <f>Financeiros!G31</f>
        <v>60</v>
      </c>
      <c r="H134">
        <f>Financeiros!H31</f>
        <v>999</v>
      </c>
      <c r="I134">
        <f>Financeiros!I31</f>
        <v>2</v>
      </c>
      <c r="J134">
        <f>Financeiros!J31</f>
        <v>30</v>
      </c>
      <c r="K134">
        <f>Financeiros!K31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6"/>
        <v>0</v>
      </c>
      <c r="Q134" s="249">
        <f ca="1">Financeiros!E30</f>
        <v>0</v>
      </c>
    </row>
    <row r="135" spans="1:17" ht="15.75">
      <c r="A135" t="s">
        <v>772</v>
      </c>
      <c r="B135" t="s">
        <v>1378</v>
      </c>
      <c r="C135" t="str">
        <f>Financeiros!C32</f>
        <v>Ressarcimento P&amp;D</v>
      </c>
      <c r="D135">
        <v>2</v>
      </c>
      <c r="E135">
        <v>2</v>
      </c>
      <c r="F135">
        <f>Financeiros!F32</f>
        <v>22</v>
      </c>
      <c r="G135">
        <f>Financeiros!G32</f>
        <v>60</v>
      </c>
      <c r="H135">
        <f>Financeiros!H32</f>
        <v>231</v>
      </c>
      <c r="I135">
        <f>Financeiros!I32</f>
        <v>3</v>
      </c>
      <c r="J135">
        <f>Financeiros!J32</f>
        <v>19</v>
      </c>
      <c r="K135">
        <f>Financeiros!K32</f>
        <v>9</v>
      </c>
      <c r="L135">
        <v>99</v>
      </c>
      <c r="M135">
        <v>9</v>
      </c>
      <c r="N135">
        <v>4</v>
      </c>
      <c r="O135">
        <v>99999</v>
      </c>
      <c r="P135" s="234">
        <f t="shared" ca="1" si="5"/>
        <v>0</v>
      </c>
      <c r="Q135" s="249">
        <f ca="1">Financeiros!E31</f>
        <v>0</v>
      </c>
    </row>
    <row r="136" spans="1:17" ht="15.75">
      <c r="A136" t="s">
        <v>772</v>
      </c>
      <c r="B136" t="s">
        <v>1378</v>
      </c>
      <c r="C136" t="str">
        <f>Financeiros!C33</f>
        <v>Efeito Conta COVID</v>
      </c>
      <c r="D136">
        <v>2</v>
      </c>
      <c r="E136">
        <v>2</v>
      </c>
      <c r="F136">
        <f>Financeiros!F33</f>
        <v>22</v>
      </c>
      <c r="G136">
        <f>Financeiros!G33</f>
        <v>60</v>
      </c>
      <c r="H136">
        <f>Financeiros!H33</f>
        <v>235</v>
      </c>
      <c r="I136">
        <f>Financeiros!I33</f>
        <v>4</v>
      </c>
      <c r="J136">
        <f>Financeiros!J33</f>
        <v>999</v>
      </c>
      <c r="K136">
        <f>Financeiros!K33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5"/>
        <v>0</v>
      </c>
      <c r="Q136" s="249">
        <f ca="1">Financeiros!E32</f>
        <v>0</v>
      </c>
    </row>
    <row r="137" spans="1:17" ht="15.75">
      <c r="A137" t="s">
        <v>772</v>
      </c>
      <c r="B137" t="s">
        <v>1378</v>
      </c>
      <c r="C137" t="str">
        <f>Financeiros!C34</f>
        <v>Previsão de Risco Hidrologico</v>
      </c>
      <c r="D137">
        <v>2</v>
      </c>
      <c r="E137">
        <v>2</v>
      </c>
      <c r="F137">
        <f>Financeiros!F34</f>
        <v>22</v>
      </c>
      <c r="G137">
        <f>Financeiros!G34</f>
        <v>60</v>
      </c>
      <c r="H137">
        <f>Financeiros!H34</f>
        <v>220</v>
      </c>
      <c r="I137">
        <f>Financeiros!I34</f>
        <v>2</v>
      </c>
      <c r="J137">
        <f>Financeiros!J34</f>
        <v>30</v>
      </c>
      <c r="K137">
        <f>Financeiros!K34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42" ca="1" si="7">IF(ISNUMBER(Q137),Q137,0)</f>
        <v>0</v>
      </c>
      <c r="Q137" s="249">
        <f ca="1">Financeiros!E33</f>
        <v>0</v>
      </c>
    </row>
    <row r="138" spans="1:17" ht="15.75">
      <c r="A138" t="s">
        <v>772</v>
      </c>
      <c r="B138" t="s">
        <v>1378</v>
      </c>
      <c r="C138" t="str">
        <f>Financeiros!C35</f>
        <v>Efeito COVID da Supridora</v>
      </c>
      <c r="D138">
        <v>2</v>
      </c>
      <c r="E138">
        <v>2</v>
      </c>
      <c r="F138">
        <f>Financeiros!F35</f>
        <v>22</v>
      </c>
      <c r="G138">
        <f>Financeiros!G35</f>
        <v>60</v>
      </c>
      <c r="H138">
        <f>Financeiros!H35</f>
        <v>999</v>
      </c>
      <c r="I138">
        <f>Financeiros!I35</f>
        <v>2</v>
      </c>
      <c r="J138">
        <f>Financeiros!J35</f>
        <v>30</v>
      </c>
      <c r="K138">
        <f>Financeiros!K35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7"/>
        <v>0</v>
      </c>
      <c r="Q138" s="249">
        <f ca="1">Financeiros!E34</f>
        <v>0</v>
      </c>
    </row>
    <row r="139" spans="1:17" ht="15.75">
      <c r="A139" t="s">
        <v>772</v>
      </c>
      <c r="B139" t="s">
        <v>1378</v>
      </c>
      <c r="C139" t="str">
        <f>Financeiros!C36</f>
        <v>Crédito de Pis Cofins sobre ICMS</v>
      </c>
      <c r="D139">
        <v>2</v>
      </c>
      <c r="E139">
        <v>2</v>
      </c>
      <c r="F139">
        <f>Financeiros!F36</f>
        <v>22</v>
      </c>
      <c r="G139">
        <f>Financeiros!G36</f>
        <v>60</v>
      </c>
      <c r="H139">
        <f>Financeiros!H36</f>
        <v>179</v>
      </c>
      <c r="I139">
        <f>Financeiros!I36</f>
        <v>99</v>
      </c>
      <c r="J139">
        <f>Financeiros!J36</f>
        <v>999</v>
      </c>
      <c r="K139">
        <f>Financeiros!K36</f>
        <v>3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Financeiros!E35</f>
        <v>0</v>
      </c>
    </row>
    <row r="140" spans="1:17" ht="15.75">
      <c r="A140" t="s">
        <v>772</v>
      </c>
      <c r="B140" t="s">
        <v>1378</v>
      </c>
      <c r="C140" t="str">
        <f>Financeiros!C37</f>
        <v>Diferimento Pis Cofins TUSD</v>
      </c>
      <c r="D140">
        <v>2</v>
      </c>
      <c r="E140">
        <v>2</v>
      </c>
      <c r="F140">
        <f>Financeiros!F37</f>
        <v>22</v>
      </c>
      <c r="G140">
        <f>Financeiros!G37</f>
        <v>60</v>
      </c>
      <c r="H140">
        <f>Financeiros!H37</f>
        <v>999</v>
      </c>
      <c r="I140">
        <f>Financeiros!I37</f>
        <v>1</v>
      </c>
      <c r="J140">
        <f>Financeiros!J37</f>
        <v>7</v>
      </c>
      <c r="K140">
        <f>Financeiros!K37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Financeiros!E36</f>
        <v>0</v>
      </c>
    </row>
    <row r="141" spans="1:17" ht="15.75">
      <c r="A141" t="s">
        <v>772</v>
      </c>
      <c r="B141" t="s">
        <v>1378</v>
      </c>
      <c r="C141" t="str">
        <f>Financeiros!C38</f>
        <v>Diferimento de Energia - Pleito</v>
      </c>
      <c r="D141">
        <v>2</v>
      </c>
      <c r="E141">
        <v>2</v>
      </c>
      <c r="F141">
        <f>Financeiros!F38</f>
        <v>22</v>
      </c>
      <c r="G141">
        <f>Financeiros!G38</f>
        <v>60</v>
      </c>
      <c r="H141">
        <f>Financeiros!H38</f>
        <v>999</v>
      </c>
      <c r="I141">
        <f>Financeiros!I38</f>
        <v>2</v>
      </c>
      <c r="J141">
        <f>Financeiros!J38</f>
        <v>30</v>
      </c>
      <c r="K141">
        <f>Financeiros!K38</f>
        <v>9</v>
      </c>
      <c r="L141">
        <v>99</v>
      </c>
      <c r="M141">
        <v>9</v>
      </c>
      <c r="N141">
        <v>4</v>
      </c>
      <c r="O141">
        <v>99999</v>
      </c>
      <c r="P141" s="234">
        <f t="shared" ca="1" si="7"/>
        <v>0</v>
      </c>
      <c r="Q141" s="249">
        <f ca="1">Financeiros!E37</f>
        <v>0</v>
      </c>
    </row>
    <row r="142" spans="1:17" ht="15.75">
      <c r="A142" t="s">
        <v>772</v>
      </c>
      <c r="B142" t="s">
        <v>1378</v>
      </c>
      <c r="C142" t="str">
        <f>Financeiros!C39</f>
        <v>Financeiros associados ao §7º do Art. 88 da Ren 414/2021</v>
      </c>
      <c r="D142">
        <v>2</v>
      </c>
      <c r="E142">
        <v>2</v>
      </c>
      <c r="F142">
        <f>Financeiros!F39</f>
        <v>22</v>
      </c>
      <c r="G142">
        <f>Financeiros!G39</f>
        <v>60</v>
      </c>
      <c r="H142">
        <f>Financeiros!H39</f>
        <v>999</v>
      </c>
      <c r="I142">
        <f>Financeiros!I39</f>
        <v>2</v>
      </c>
      <c r="J142">
        <f>Financeiros!J39</f>
        <v>30</v>
      </c>
      <c r="K142">
        <f>Financeiros!K39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7"/>
        <v>-3.2298301049218582E-2</v>
      </c>
      <c r="Q142" s="249">
        <f ca="1">Financeiros!E38</f>
        <v>-3.2298301049218582E-2</v>
      </c>
    </row>
    <row r="143" spans="1:17" ht="15.75">
      <c r="A143" t="s">
        <v>772</v>
      </c>
      <c r="B143" t="s">
        <v>1378</v>
      </c>
      <c r="C143">
        <f>Financeiros!C40</f>
        <v>0</v>
      </c>
      <c r="D143">
        <v>2</v>
      </c>
      <c r="E143">
        <v>2</v>
      </c>
      <c r="F143">
        <f>Financeiros!F40</f>
        <v>22</v>
      </c>
      <c r="G143">
        <f>Financeiros!G40</f>
        <v>60</v>
      </c>
      <c r="H143">
        <f>Financeiros!H40</f>
        <v>999</v>
      </c>
      <c r="I143">
        <f>Financeiros!I40</f>
        <v>99</v>
      </c>
      <c r="J143">
        <f>Financeiros!J40</f>
        <v>999</v>
      </c>
      <c r="K143">
        <f>Financeiros!K40</f>
        <v>9</v>
      </c>
      <c r="L143">
        <v>99</v>
      </c>
      <c r="M143">
        <v>9</v>
      </c>
      <c r="N143">
        <v>4</v>
      </c>
      <c r="O143">
        <v>99999</v>
      </c>
      <c r="P143" s="234">
        <f t="shared" ref="P143:P145" ca="1" si="8">IF(ISNUMBER(Q143),Q143,0)</f>
        <v>0</v>
      </c>
      <c r="Q143" s="249">
        <f ca="1">Financeiros!E39</f>
        <v>0</v>
      </c>
    </row>
    <row r="144" spans="1:17" ht="15.75">
      <c r="A144" t="s">
        <v>772</v>
      </c>
      <c r="B144" t="s">
        <v>1378</v>
      </c>
      <c r="C144" t="str">
        <f>Financeiros!C41</f>
        <v>Reversão Postergação Covid Tusd em 2021</v>
      </c>
      <c r="D144">
        <v>2</v>
      </c>
      <c r="E144">
        <v>2</v>
      </c>
      <c r="F144">
        <f>Financeiros!F41</f>
        <v>22</v>
      </c>
      <c r="G144">
        <f>Financeiros!G41</f>
        <v>60</v>
      </c>
      <c r="H144">
        <f>Financeiros!H41</f>
        <v>196</v>
      </c>
      <c r="I144">
        <f>Financeiros!I41</f>
        <v>99</v>
      </c>
      <c r="J144">
        <f>Financeiros!J41</f>
        <v>999</v>
      </c>
      <c r="K144">
        <f>Financeiros!K41</f>
        <v>1</v>
      </c>
      <c r="L144">
        <v>99</v>
      </c>
      <c r="M144">
        <v>9</v>
      </c>
      <c r="N144">
        <v>4</v>
      </c>
      <c r="O144">
        <v>99999</v>
      </c>
      <c r="P144" s="234">
        <f t="shared" ca="1" si="8"/>
        <v>0</v>
      </c>
      <c r="Q144" s="249">
        <f ca="1">Financeiros!E40</f>
        <v>0</v>
      </c>
    </row>
    <row r="145" spans="1:21" ht="15.75">
      <c r="A145" t="s">
        <v>772</v>
      </c>
      <c r="B145" t="s">
        <v>1378</v>
      </c>
      <c r="C145" t="str">
        <f>Financeiros!C42</f>
        <v>Reversão Postergação Covid TE em 2021</v>
      </c>
      <c r="D145">
        <v>2</v>
      </c>
      <c r="E145">
        <v>2</v>
      </c>
      <c r="F145">
        <f>Financeiros!F42</f>
        <v>22</v>
      </c>
      <c r="G145">
        <f>Financeiros!G42</f>
        <v>60</v>
      </c>
      <c r="H145">
        <f>Financeiros!H42</f>
        <v>196</v>
      </c>
      <c r="I145">
        <f>Financeiros!I42</f>
        <v>99</v>
      </c>
      <c r="J145">
        <f>Financeiros!J42</f>
        <v>999</v>
      </c>
      <c r="K145">
        <f>Financeiros!K42</f>
        <v>2</v>
      </c>
      <c r="L145">
        <v>99</v>
      </c>
      <c r="M145">
        <v>9</v>
      </c>
      <c r="N145">
        <v>4</v>
      </c>
      <c r="O145">
        <v>99999</v>
      </c>
      <c r="P145" s="234">
        <f t="shared" ca="1" si="8"/>
        <v>-1.0653168010404056E-3</v>
      </c>
      <c r="Q145" s="249">
        <f ca="1">Financeiros!E41</f>
        <v>-1.0653168010404056E-3</v>
      </c>
    </row>
    <row r="146" spans="1:21" ht="15.75">
      <c r="A146" t="s">
        <v>772</v>
      </c>
      <c r="B146" t="s">
        <v>72</v>
      </c>
      <c r="C146" t="s">
        <v>1610</v>
      </c>
      <c r="D146">
        <v>1</v>
      </c>
      <c r="E146">
        <v>1</v>
      </c>
      <c r="F146">
        <v>11</v>
      </c>
      <c r="G146">
        <v>20</v>
      </c>
      <c r="H146">
        <v>999</v>
      </c>
      <c r="I146">
        <v>3</v>
      </c>
      <c r="J146">
        <v>19</v>
      </c>
      <c r="K146">
        <v>9</v>
      </c>
      <c r="L146">
        <v>99</v>
      </c>
      <c r="M146">
        <v>9</v>
      </c>
      <c r="N146">
        <v>4</v>
      </c>
      <c r="O146">
        <v>99999</v>
      </c>
      <c r="P146" s="234">
        <f t="shared" si="5"/>
        <v>1E-14</v>
      </c>
      <c r="Q146" s="234">
        <f>Encargos!O6</f>
        <v>1E-14</v>
      </c>
    </row>
    <row r="147" spans="1:21" ht="15.75">
      <c r="A147" t="s">
        <v>1611</v>
      </c>
      <c r="B147" t="s">
        <v>1612</v>
      </c>
      <c r="C147" t="s">
        <v>1613</v>
      </c>
      <c r="D147">
        <v>1</v>
      </c>
      <c r="E147">
        <v>99</v>
      </c>
      <c r="F147">
        <v>999</v>
      </c>
      <c r="G147">
        <v>999999</v>
      </c>
      <c r="H147">
        <v>30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9</v>
      </c>
      <c r="O147">
        <v>99999</v>
      </c>
      <c r="P147" s="234">
        <f t="shared" si="5"/>
        <v>0</v>
      </c>
      <c r="Q147" s="234">
        <f>IF(CAPA!K9="Atrasado",1,0)</f>
        <v>0</v>
      </c>
    </row>
    <row r="148" spans="1:21" ht="15.75">
      <c r="A148" t="s">
        <v>1611</v>
      </c>
      <c r="B148" t="s">
        <v>1612</v>
      </c>
      <c r="C148" t="s">
        <v>1614</v>
      </c>
      <c r="D148">
        <v>1</v>
      </c>
      <c r="E148">
        <v>99</v>
      </c>
      <c r="F148">
        <v>999</v>
      </c>
      <c r="G148">
        <v>999999</v>
      </c>
      <c r="H148">
        <v>31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9</v>
      </c>
      <c r="O148">
        <v>99999</v>
      </c>
      <c r="P148" s="234">
        <f t="shared" ca="1" si="5"/>
        <v>0</v>
      </c>
      <c r="Q148" s="234">
        <f ca="1">IF(CAPA!C110="Revisão",1,0)</f>
        <v>0</v>
      </c>
    </row>
    <row r="149" spans="1:21" ht="15.75">
      <c r="A149" t="s">
        <v>1611</v>
      </c>
      <c r="B149" t="s">
        <v>1612</v>
      </c>
      <c r="C149" t="s">
        <v>1615</v>
      </c>
      <c r="D149">
        <v>1</v>
      </c>
      <c r="E149">
        <v>99</v>
      </c>
      <c r="F149">
        <v>999</v>
      </c>
      <c r="G149">
        <v>999999</v>
      </c>
      <c r="H149">
        <v>32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9</v>
      </c>
      <c r="O149">
        <v>99999</v>
      </c>
      <c r="P149" s="234">
        <f t="shared" si="5"/>
        <v>1</v>
      </c>
      <c r="Q149" s="234">
        <v>1</v>
      </c>
    </row>
    <row r="150" spans="1:21" ht="15.75">
      <c r="A150" t="s">
        <v>772</v>
      </c>
      <c r="B150" t="s">
        <v>974</v>
      </c>
      <c r="C150" t="s">
        <v>1616</v>
      </c>
      <c r="D150">
        <v>1</v>
      </c>
      <c r="E150">
        <v>3</v>
      </c>
      <c r="F150">
        <v>50</v>
      </c>
      <c r="G150">
        <v>1</v>
      </c>
      <c r="H150">
        <v>999</v>
      </c>
      <c r="I150">
        <v>99</v>
      </c>
      <c r="J150">
        <v>999</v>
      </c>
      <c r="K150">
        <v>9</v>
      </c>
      <c r="L150">
        <v>99</v>
      </c>
      <c r="M150">
        <v>9</v>
      </c>
      <c r="N150">
        <v>4</v>
      </c>
      <c r="O150">
        <v>99999</v>
      </c>
      <c r="P150" s="234">
        <f t="shared" si="5"/>
        <v>0</v>
      </c>
      <c r="Q150" s="254">
        <f>IF(CAPA!P1="VERDADEIRO",0,Calc_Mercado!J15)</f>
        <v>0</v>
      </c>
    </row>
    <row r="151" spans="1:21" ht="15.75">
      <c r="A151" s="16" t="s">
        <v>772</v>
      </c>
      <c r="B151" s="16" t="s">
        <v>120</v>
      </c>
      <c r="C151" s="16" t="s">
        <v>822</v>
      </c>
      <c r="D151" s="16">
        <v>4</v>
      </c>
      <c r="E151" s="16">
        <v>1</v>
      </c>
      <c r="F151" s="16">
        <v>51</v>
      </c>
      <c r="G151" s="16">
        <v>55</v>
      </c>
      <c r="H151" s="16">
        <v>999</v>
      </c>
      <c r="I151" s="16">
        <v>99</v>
      </c>
      <c r="J151" s="16">
        <v>999</v>
      </c>
      <c r="K151" s="16">
        <v>9</v>
      </c>
      <c r="L151" s="16">
        <v>99</v>
      </c>
      <c r="M151" s="16">
        <v>9</v>
      </c>
      <c r="N151" s="16">
        <v>2</v>
      </c>
      <c r="O151" s="16">
        <v>99999</v>
      </c>
      <c r="P151" s="234">
        <f t="shared" ca="1" si="5"/>
        <v>12849.937059999998</v>
      </c>
      <c r="Q151" s="234">
        <f ca="1">Energia!C5</f>
        <v>12849.937059999998</v>
      </c>
    </row>
    <row r="152" spans="1:21" ht="15.75">
      <c r="A152" s="16" t="s">
        <v>772</v>
      </c>
      <c r="B152" s="16" t="s">
        <v>120</v>
      </c>
      <c r="C152" s="16" t="s">
        <v>822</v>
      </c>
      <c r="D152" s="16">
        <v>4</v>
      </c>
      <c r="E152" s="16">
        <v>1</v>
      </c>
      <c r="F152" s="16">
        <v>51</v>
      </c>
      <c r="G152" s="16">
        <v>55</v>
      </c>
      <c r="H152" s="16">
        <v>999</v>
      </c>
      <c r="I152" s="16">
        <v>99</v>
      </c>
      <c r="J152" s="16">
        <v>999</v>
      </c>
      <c r="K152" s="16">
        <v>9</v>
      </c>
      <c r="L152" s="16">
        <v>99</v>
      </c>
      <c r="M152" s="16">
        <v>9</v>
      </c>
      <c r="N152" s="16">
        <v>3</v>
      </c>
      <c r="O152" s="16">
        <v>99999</v>
      </c>
      <c r="P152" s="234">
        <f t="shared" ca="1" si="5"/>
        <v>3218115.4223371609</v>
      </c>
      <c r="Q152" s="234">
        <f ca="1">Energia!C14</f>
        <v>3218115.4223371609</v>
      </c>
    </row>
    <row r="153" spans="1:21" ht="15.75">
      <c r="A153" s="16" t="s">
        <v>772</v>
      </c>
      <c r="B153" s="16" t="s">
        <v>1617</v>
      </c>
      <c r="C153" s="16" t="s">
        <v>1618</v>
      </c>
      <c r="D153" s="16">
        <v>4</v>
      </c>
      <c r="E153" s="16">
        <v>1</v>
      </c>
      <c r="F153" s="16">
        <v>51</v>
      </c>
      <c r="G153" s="16">
        <v>100</v>
      </c>
      <c r="H153" s="16">
        <v>999</v>
      </c>
      <c r="I153" s="16">
        <v>99</v>
      </c>
      <c r="J153" s="16">
        <v>999</v>
      </c>
      <c r="K153" s="16">
        <v>9</v>
      </c>
      <c r="L153" s="16">
        <v>99</v>
      </c>
      <c r="M153" s="16">
        <v>9</v>
      </c>
      <c r="N153" s="16">
        <v>3</v>
      </c>
      <c r="O153" s="16">
        <v>99999</v>
      </c>
      <c r="P153" s="234">
        <f t="shared" ca="1" si="5"/>
        <v>5137923.0408461671</v>
      </c>
      <c r="Q153" s="234">
        <f ca="1">Resultado!D34</f>
        <v>5137923.0408461671</v>
      </c>
    </row>
    <row r="154" spans="1:21" ht="15.75">
      <c r="A154" s="16" t="s">
        <v>772</v>
      </c>
      <c r="B154" s="16" t="s">
        <v>109</v>
      </c>
      <c r="C154" s="16" t="s">
        <v>837</v>
      </c>
      <c r="D154" s="16">
        <v>4</v>
      </c>
      <c r="E154" s="16">
        <v>1</v>
      </c>
      <c r="F154" s="16">
        <v>51</v>
      </c>
      <c r="G154" s="16">
        <v>101</v>
      </c>
      <c r="H154" s="16">
        <v>999</v>
      </c>
      <c r="I154" s="16">
        <v>99</v>
      </c>
      <c r="J154" s="16">
        <v>999</v>
      </c>
      <c r="K154" s="16">
        <v>9</v>
      </c>
      <c r="L154" s="16">
        <v>99</v>
      </c>
      <c r="M154" s="16">
        <v>9</v>
      </c>
      <c r="N154" s="16">
        <v>3</v>
      </c>
      <c r="O154" s="16">
        <v>99999</v>
      </c>
      <c r="P154" s="234">
        <f t="shared" si="5"/>
        <v>5374442.8200000003</v>
      </c>
      <c r="Q154" s="234">
        <f>Resultado!D39</f>
        <v>5374442.8200000003</v>
      </c>
    </row>
    <row r="155" spans="1:21" ht="15.75">
      <c r="A155" s="16" t="s">
        <v>772</v>
      </c>
      <c r="B155" s="16" t="s">
        <v>72</v>
      </c>
      <c r="C155" s="16" t="s">
        <v>837</v>
      </c>
      <c r="D155" s="16">
        <v>4</v>
      </c>
      <c r="E155" s="16">
        <v>1</v>
      </c>
      <c r="F155" s="16">
        <v>51</v>
      </c>
      <c r="G155" s="16">
        <v>104</v>
      </c>
      <c r="H155" s="16">
        <v>999</v>
      </c>
      <c r="I155" s="16">
        <v>3</v>
      </c>
      <c r="J155" s="16">
        <v>999</v>
      </c>
      <c r="K155" s="16">
        <v>9</v>
      </c>
      <c r="L155" s="16">
        <v>99</v>
      </c>
      <c r="M155" s="16">
        <v>9</v>
      </c>
      <c r="N155" s="16">
        <v>3</v>
      </c>
      <c r="O155" s="16">
        <v>99999</v>
      </c>
      <c r="P155" s="234">
        <f t="shared" ca="1" si="5"/>
        <v>472178.54029000649</v>
      </c>
      <c r="Q155" s="234">
        <f ca="1">Resultado!D14</f>
        <v>472178.54029000649</v>
      </c>
    </row>
    <row r="156" spans="1:21" ht="15.75">
      <c r="A156" s="16" t="s">
        <v>772</v>
      </c>
      <c r="B156" s="16" t="s">
        <v>794</v>
      </c>
      <c r="C156" s="16" t="s">
        <v>837</v>
      </c>
      <c r="D156" s="16">
        <v>4</v>
      </c>
      <c r="E156" s="16">
        <v>1</v>
      </c>
      <c r="F156" s="16">
        <v>51</v>
      </c>
      <c r="G156" s="16">
        <v>105</v>
      </c>
      <c r="H156" s="16">
        <v>999</v>
      </c>
      <c r="I156" s="16">
        <v>1</v>
      </c>
      <c r="J156" s="16">
        <v>999</v>
      </c>
      <c r="K156" s="16">
        <v>9</v>
      </c>
      <c r="L156" s="16">
        <v>99</v>
      </c>
      <c r="M156" s="16">
        <v>9</v>
      </c>
      <c r="N156" s="16">
        <v>3</v>
      </c>
      <c r="O156" s="16">
        <v>99999</v>
      </c>
      <c r="P156" s="234">
        <f t="shared" si="5"/>
        <v>1447629.078219</v>
      </c>
      <c r="Q156" s="234">
        <f>Resultado!D24</f>
        <v>1447629.078219</v>
      </c>
    </row>
    <row r="157" spans="1:21" ht="15.75">
      <c r="A157" s="16" t="s">
        <v>772</v>
      </c>
      <c r="B157" s="16" t="s">
        <v>1617</v>
      </c>
      <c r="C157" s="16" t="s">
        <v>1619</v>
      </c>
      <c r="D157" s="16">
        <v>4</v>
      </c>
      <c r="E157" s="16">
        <v>1</v>
      </c>
      <c r="F157" s="16">
        <v>51</v>
      </c>
      <c r="G157" s="16">
        <v>106</v>
      </c>
      <c r="H157" s="16">
        <v>999</v>
      </c>
      <c r="I157" s="16">
        <v>99</v>
      </c>
      <c r="J157" s="16">
        <v>999</v>
      </c>
      <c r="K157" s="16">
        <v>9</v>
      </c>
      <c r="L157" s="16">
        <v>99</v>
      </c>
      <c r="M157" s="16">
        <v>9</v>
      </c>
      <c r="N157" s="16">
        <v>3</v>
      </c>
      <c r="O157" s="16">
        <v>99999</v>
      </c>
      <c r="P157" s="234">
        <f t="shared" ca="1" si="5"/>
        <v>10512365.860846167</v>
      </c>
      <c r="Q157" s="234">
        <f ca="1">Resultado!C5</f>
        <v>10512365.860846167</v>
      </c>
    </row>
    <row r="158" spans="1:21" ht="15.75">
      <c r="A158" s="16" t="s">
        <v>772</v>
      </c>
      <c r="B158" s="16" t="s">
        <v>120</v>
      </c>
      <c r="C158" s="16" t="s">
        <v>1620</v>
      </c>
      <c r="D158" s="16">
        <v>4</v>
      </c>
      <c r="E158" s="16">
        <v>1</v>
      </c>
      <c r="F158" s="16">
        <v>51</v>
      </c>
      <c r="G158" s="16">
        <v>108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4</v>
      </c>
      <c r="O158" s="16">
        <v>99999</v>
      </c>
      <c r="P158" s="234">
        <f t="shared" ca="1" si="5"/>
        <v>0</v>
      </c>
      <c r="Q158" s="234">
        <f ca="1">Energia!M15</f>
        <v>0</v>
      </c>
    </row>
    <row r="159" spans="1:21" ht="15.75">
      <c r="A159" s="16" t="s">
        <v>772</v>
      </c>
      <c r="B159" s="16" t="s">
        <v>120</v>
      </c>
      <c r="C159" s="16" t="s">
        <v>1621</v>
      </c>
      <c r="D159" s="16">
        <v>4</v>
      </c>
      <c r="E159" s="16">
        <v>1</v>
      </c>
      <c r="F159" s="16">
        <v>51</v>
      </c>
      <c r="G159" s="16">
        <v>108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2</v>
      </c>
      <c r="O159" s="16">
        <v>99999</v>
      </c>
      <c r="P159" s="234">
        <f t="shared" ca="1" si="5"/>
        <v>0</v>
      </c>
      <c r="Q159" s="234">
        <f ca="1">Energia!M18+Energia!M19</f>
        <v>0</v>
      </c>
    </row>
    <row r="160" spans="1:21" ht="15.75">
      <c r="A160" s="16" t="s">
        <v>771</v>
      </c>
      <c r="B160" s="16" t="s">
        <v>120</v>
      </c>
      <c r="C160" s="16" t="s">
        <v>837</v>
      </c>
      <c r="D160" s="16">
        <v>4</v>
      </c>
      <c r="E160" s="16">
        <v>1</v>
      </c>
      <c r="F160" s="16">
        <v>52</v>
      </c>
      <c r="G160" s="16">
        <v>55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5"/>
        <v>2906482.5731358528</v>
      </c>
      <c r="Q160" s="234">
        <f ca="1">Resultado!C33</f>
        <v>2906482.5731358528</v>
      </c>
      <c r="R160" s="255"/>
      <c r="S160" s="255"/>
      <c r="T160" s="255"/>
      <c r="U160" s="255"/>
    </row>
    <row r="161" spans="1:17" ht="15.75">
      <c r="A161" s="16" t="s">
        <v>771</v>
      </c>
      <c r="B161" s="16" t="s">
        <v>1617</v>
      </c>
      <c r="C161" s="16" t="s">
        <v>1622</v>
      </c>
      <c r="D161" s="16">
        <v>4</v>
      </c>
      <c r="E161" s="16">
        <v>1</v>
      </c>
      <c r="F161" s="16">
        <v>52</v>
      </c>
      <c r="G161" s="16">
        <v>106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ca="1" si="5"/>
        <v>8669186.6415299959</v>
      </c>
      <c r="Q161" s="234">
        <f ca="1">Mercado_RA0_Reais</f>
        <v>8669186.6415299959</v>
      </c>
    </row>
    <row r="162" spans="1:17" ht="15.75">
      <c r="A162" s="16" t="s">
        <v>772</v>
      </c>
      <c r="B162" s="16" t="s">
        <v>1378</v>
      </c>
      <c r="C162" s="16" t="s">
        <v>837</v>
      </c>
      <c r="D162" s="16">
        <v>4</v>
      </c>
      <c r="E162" s="16">
        <v>2</v>
      </c>
      <c r="F162" s="16">
        <v>51</v>
      </c>
      <c r="G162" s="16">
        <v>102</v>
      </c>
      <c r="H162" s="16">
        <v>999</v>
      </c>
      <c r="I162" s="16">
        <v>99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5"/>
        <v>-1115659.7895383865</v>
      </c>
      <c r="Q162" s="234">
        <f ca="1">Financeiros!D7</f>
        <v>-1115659.7895383865</v>
      </c>
    </row>
    <row r="163" spans="1:17" ht="15.75">
      <c r="A163" s="16" t="s">
        <v>772</v>
      </c>
      <c r="B163" s="16" t="s">
        <v>1378</v>
      </c>
      <c r="C163" s="16" t="s">
        <v>837</v>
      </c>
      <c r="D163" s="16">
        <v>4</v>
      </c>
      <c r="E163" s="16">
        <v>2</v>
      </c>
      <c r="F163" s="16">
        <v>51</v>
      </c>
      <c r="G163" s="16">
        <v>102</v>
      </c>
      <c r="H163" s="16">
        <v>999</v>
      </c>
      <c r="I163" s="16">
        <v>99</v>
      </c>
      <c r="J163" s="16">
        <v>999</v>
      </c>
      <c r="K163" s="16">
        <v>9</v>
      </c>
      <c r="L163" s="16">
        <v>99</v>
      </c>
      <c r="M163" s="16">
        <v>9</v>
      </c>
      <c r="N163" s="16">
        <v>4</v>
      </c>
      <c r="O163" s="16">
        <v>99999</v>
      </c>
      <c r="P163" s="234">
        <f t="shared" ca="1" si="5"/>
        <v>-0.12869255625363807</v>
      </c>
      <c r="Q163" s="234">
        <f ca="1">Financeiros!E7</f>
        <v>-0.12869255625363807</v>
      </c>
    </row>
    <row r="164" spans="1:17" ht="15.75">
      <c r="A164" s="16" t="s">
        <v>772</v>
      </c>
      <c r="B164" s="16" t="s">
        <v>1623</v>
      </c>
      <c r="C164" s="16" t="s">
        <v>1624</v>
      </c>
      <c r="D164" s="16">
        <v>4</v>
      </c>
      <c r="E164" s="16">
        <v>99</v>
      </c>
      <c r="F164" s="16">
        <v>51</v>
      </c>
      <c r="G164" s="16">
        <v>109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5"/>
        <v>9396706.0713077802</v>
      </c>
      <c r="Q164" s="234">
        <f ca="1">Resultado!C5+Financeiros!D7/(1+IF(Q150&gt;0,Q150,0))</f>
        <v>9396706.0713077802</v>
      </c>
    </row>
    <row r="165" spans="1:17" ht="15.75">
      <c r="A165" t="s">
        <v>772</v>
      </c>
      <c r="B165" t="s">
        <v>72</v>
      </c>
      <c r="C165" t="s">
        <v>1610</v>
      </c>
      <c r="D165">
        <v>1</v>
      </c>
      <c r="E165">
        <v>1</v>
      </c>
      <c r="F165">
        <v>11</v>
      </c>
      <c r="G165">
        <v>20</v>
      </c>
      <c r="H165">
        <v>999</v>
      </c>
      <c r="I165">
        <v>3</v>
      </c>
      <c r="J165">
        <v>19</v>
      </c>
      <c r="K165">
        <v>9</v>
      </c>
      <c r="L165">
        <v>99</v>
      </c>
      <c r="M165">
        <v>9</v>
      </c>
      <c r="N165">
        <v>4</v>
      </c>
      <c r="O165">
        <v>99999</v>
      </c>
      <c r="P165" s="234">
        <f t="shared" si="5"/>
        <v>1E-14</v>
      </c>
      <c r="Q165" s="234">
        <f>Encargos!O6</f>
        <v>1E-14</v>
      </c>
    </row>
    <row r="166" spans="1:17" ht="15.75">
      <c r="A166" s="1057" t="s">
        <v>1625</v>
      </c>
      <c r="B166" s="1057" t="s">
        <v>1625</v>
      </c>
      <c r="C166" s="1057" t="s">
        <v>1625</v>
      </c>
      <c r="D166" s="1057">
        <v>99</v>
      </c>
      <c r="E166" s="1057">
        <v>99</v>
      </c>
      <c r="F166" s="1057">
        <v>999</v>
      </c>
      <c r="G166" s="1057">
        <v>999999</v>
      </c>
      <c r="H166" s="1057">
        <v>999</v>
      </c>
      <c r="I166" s="1057">
        <v>99</v>
      </c>
      <c r="J166" s="1057">
        <v>999</v>
      </c>
      <c r="K166" s="1057">
        <v>9</v>
      </c>
      <c r="L166" s="1057">
        <v>99</v>
      </c>
      <c r="M166" s="1057">
        <v>9</v>
      </c>
      <c r="N166" s="1057">
        <v>99</v>
      </c>
      <c r="O166" s="1057">
        <v>99999</v>
      </c>
      <c r="P166" s="401">
        <f t="shared" si="5"/>
        <v>0</v>
      </c>
      <c r="Q166" s="401">
        <v>0</v>
      </c>
    </row>
    <row r="167" spans="1:17" ht="15.75">
      <c r="A167" s="1057" t="s">
        <v>1625</v>
      </c>
      <c r="B167" s="1057" t="s">
        <v>1625</v>
      </c>
      <c r="C167" s="1057" t="s">
        <v>1625</v>
      </c>
      <c r="D167" s="1057">
        <v>99</v>
      </c>
      <c r="E167" s="1057">
        <v>99</v>
      </c>
      <c r="F167" s="1057">
        <v>999</v>
      </c>
      <c r="G167" s="1057">
        <v>999999</v>
      </c>
      <c r="H167" s="1057">
        <v>999</v>
      </c>
      <c r="I167" s="1057">
        <v>99</v>
      </c>
      <c r="J167" s="1057">
        <v>999</v>
      </c>
      <c r="K167" s="1057">
        <v>9</v>
      </c>
      <c r="L167" s="1057">
        <v>99</v>
      </c>
      <c r="M167" s="1057">
        <v>9</v>
      </c>
      <c r="N167" s="1057">
        <v>99</v>
      </c>
      <c r="O167" s="1057">
        <v>99999</v>
      </c>
      <c r="P167" s="401">
        <f t="shared" si="5"/>
        <v>0</v>
      </c>
      <c r="Q167" s="401">
        <v>0</v>
      </c>
    </row>
    <row r="168" spans="1:17" ht="15.75">
      <c r="A168" s="1057" t="s">
        <v>1625</v>
      </c>
      <c r="B168" s="1057" t="s">
        <v>1625</v>
      </c>
      <c r="C168" s="1057" t="s">
        <v>1625</v>
      </c>
      <c r="D168" s="1057">
        <v>99</v>
      </c>
      <c r="E168" s="1057">
        <v>99</v>
      </c>
      <c r="F168" s="1057">
        <v>999</v>
      </c>
      <c r="G168" s="1057">
        <v>999999</v>
      </c>
      <c r="H168" s="1057">
        <v>999</v>
      </c>
      <c r="I168" s="1057">
        <v>99</v>
      </c>
      <c r="J168" s="1057">
        <v>999</v>
      </c>
      <c r="K168" s="1057">
        <v>9</v>
      </c>
      <c r="L168" s="1057">
        <v>99</v>
      </c>
      <c r="M168" s="1057">
        <v>9</v>
      </c>
      <c r="N168" s="1057">
        <v>99</v>
      </c>
      <c r="O168" s="1057">
        <v>99999</v>
      </c>
      <c r="P168" s="401">
        <f t="shared" si="5"/>
        <v>0</v>
      </c>
      <c r="Q168" s="401">
        <v>0</v>
      </c>
    </row>
    <row r="169" spans="1:17" ht="15.75">
      <c r="A169" t="s">
        <v>772</v>
      </c>
      <c r="B169" t="s">
        <v>974</v>
      </c>
      <c r="C169" t="s">
        <v>1616</v>
      </c>
      <c r="D169">
        <v>1</v>
      </c>
      <c r="E169">
        <v>3</v>
      </c>
      <c r="F169">
        <v>50</v>
      </c>
      <c r="G169">
        <v>1</v>
      </c>
      <c r="H169">
        <v>999</v>
      </c>
      <c r="I169">
        <v>99</v>
      </c>
      <c r="J169">
        <v>999</v>
      </c>
      <c r="K169">
        <v>9</v>
      </c>
      <c r="L169">
        <v>99</v>
      </c>
      <c r="M169">
        <v>9</v>
      </c>
      <c r="N169">
        <v>4</v>
      </c>
      <c r="O169">
        <v>99999</v>
      </c>
      <c r="P169" s="234">
        <f t="shared" si="5"/>
        <v>0</v>
      </c>
      <c r="Q169" s="254">
        <f>IF(CAPA!P1="VERDADEIRO",0,Calc_Mercado!J15)</f>
        <v>0</v>
      </c>
    </row>
    <row r="170" spans="1:17" ht="15.75">
      <c r="A170" s="16" t="s">
        <v>772</v>
      </c>
      <c r="B170" s="16" t="s">
        <v>120</v>
      </c>
      <c r="C170" s="16" t="s">
        <v>822</v>
      </c>
      <c r="D170" s="16">
        <v>4</v>
      </c>
      <c r="E170" s="16">
        <v>1</v>
      </c>
      <c r="F170" s="16">
        <v>51</v>
      </c>
      <c r="G170" s="16">
        <v>55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2</v>
      </c>
      <c r="O170" s="16">
        <v>99999</v>
      </c>
      <c r="P170" s="234">
        <f t="shared" ca="1" si="5"/>
        <v>12849.937059999998</v>
      </c>
      <c r="Q170" s="234">
        <f ca="1">Energia!C5</f>
        <v>12849.937059999998</v>
      </c>
    </row>
    <row r="171" spans="1:17" ht="15.75">
      <c r="A171" s="16" t="s">
        <v>772</v>
      </c>
      <c r="B171" s="16" t="s">
        <v>120</v>
      </c>
      <c r="C171" s="16" t="s">
        <v>822</v>
      </c>
      <c r="D171" s="16">
        <v>4</v>
      </c>
      <c r="E171" s="16">
        <v>1</v>
      </c>
      <c r="F171" s="16">
        <v>51</v>
      </c>
      <c r="G171" s="16">
        <v>55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5"/>
        <v>3218115.4223371609</v>
      </c>
      <c r="Q171" s="234">
        <f ca="1">Energia!C14</f>
        <v>3218115.4223371609</v>
      </c>
    </row>
    <row r="172" spans="1:17" ht="15.75">
      <c r="A172" s="16" t="s">
        <v>772</v>
      </c>
      <c r="B172" s="16" t="s">
        <v>120</v>
      </c>
      <c r="C172" s="16" t="s">
        <v>1626</v>
      </c>
      <c r="D172" s="16">
        <v>4</v>
      </c>
      <c r="E172" s="16">
        <v>1</v>
      </c>
      <c r="F172" s="16">
        <v>51</v>
      </c>
      <c r="G172" s="16">
        <v>107</v>
      </c>
      <c r="H172" s="16">
        <v>999</v>
      </c>
      <c r="I172" s="16">
        <v>99</v>
      </c>
      <c r="J172" s="16">
        <v>999</v>
      </c>
      <c r="K172" s="16">
        <v>9</v>
      </c>
      <c r="L172" s="16">
        <v>99</v>
      </c>
      <c r="M172" s="16">
        <v>9</v>
      </c>
      <c r="N172" s="16">
        <v>2</v>
      </c>
      <c r="O172" s="16">
        <v>99999</v>
      </c>
      <c r="P172" s="234">
        <f t="shared" ca="1" si="5"/>
        <v>1629.2540599999938</v>
      </c>
      <c r="Q172" s="234">
        <f ca="1">SUM(LnkTXTPerdas)</f>
        <v>1629.2540599999938</v>
      </c>
    </row>
    <row r="173" spans="1:17" ht="15.75">
      <c r="A173" s="16" t="s">
        <v>772</v>
      </c>
      <c r="B173" s="16" t="s">
        <v>1623</v>
      </c>
      <c r="C173" s="16" t="s">
        <v>1627</v>
      </c>
      <c r="D173" s="16">
        <v>4</v>
      </c>
      <c r="E173" s="16">
        <v>3</v>
      </c>
      <c r="F173" s="16">
        <v>50</v>
      </c>
      <c r="G173" s="16">
        <v>114</v>
      </c>
      <c r="H173" s="16">
        <v>999</v>
      </c>
      <c r="I173" s="16">
        <v>99</v>
      </c>
      <c r="J173" s="16">
        <v>999</v>
      </c>
      <c r="K173" s="16">
        <v>9</v>
      </c>
      <c r="L173" s="16">
        <v>99</v>
      </c>
      <c r="M173" s="16">
        <v>9</v>
      </c>
      <c r="N173" s="16">
        <v>1</v>
      </c>
      <c r="O173" s="16">
        <v>99999</v>
      </c>
      <c r="P173" s="234">
        <f t="shared" ref="P173:P207" ca="1" si="9">IF(ISNUMBER(Q173),Q173,0)</f>
        <v>1445</v>
      </c>
      <c r="Q173" s="234">
        <f ca="1">SUM(INDIRECT("dados_MercadoBase[D]"))</f>
        <v>1445</v>
      </c>
    </row>
    <row r="174" spans="1:17" ht="15.75">
      <c r="A174" s="16" t="s">
        <v>772</v>
      </c>
      <c r="B174" s="16" t="s">
        <v>1623</v>
      </c>
      <c r="C174" s="16" t="s">
        <v>1628</v>
      </c>
      <c r="D174" s="16">
        <v>4</v>
      </c>
      <c r="E174" s="16">
        <v>3</v>
      </c>
      <c r="F174" s="16">
        <v>50</v>
      </c>
      <c r="G174" s="16">
        <v>116</v>
      </c>
      <c r="H174" s="16">
        <v>999</v>
      </c>
      <c r="I174" s="16">
        <v>99</v>
      </c>
      <c r="J174" s="16">
        <v>999</v>
      </c>
      <c r="K174" s="16">
        <v>9</v>
      </c>
      <c r="L174" s="16">
        <v>99</v>
      </c>
      <c r="M174" s="16">
        <v>9</v>
      </c>
      <c r="N174" s="16">
        <v>2</v>
      </c>
      <c r="O174" s="16">
        <v>99999</v>
      </c>
      <c r="P174" s="234">
        <f t="shared" ca="1" si="9"/>
        <v>11220.683000000005</v>
      </c>
      <c r="Q174" s="234">
        <f ca="1">SUM(INDIRECT("dados_MercadoBase[TUSD_E]"))</f>
        <v>11220.683000000005</v>
      </c>
    </row>
    <row r="175" spans="1:17" ht="15.75">
      <c r="A175" t="s">
        <v>771</v>
      </c>
      <c r="B175" t="s">
        <v>794</v>
      </c>
      <c r="C175" t="s">
        <v>1629</v>
      </c>
      <c r="D175">
        <v>2</v>
      </c>
      <c r="E175">
        <v>1</v>
      </c>
      <c r="F175">
        <v>52</v>
      </c>
      <c r="G175">
        <v>999999</v>
      </c>
      <c r="H175">
        <v>999</v>
      </c>
      <c r="I175">
        <v>1</v>
      </c>
      <c r="J175">
        <v>1</v>
      </c>
      <c r="K175">
        <v>1</v>
      </c>
      <c r="L175">
        <v>99</v>
      </c>
      <c r="M175">
        <v>9</v>
      </c>
      <c r="N175">
        <v>3</v>
      </c>
      <c r="O175">
        <v>99999</v>
      </c>
      <c r="P175" s="234">
        <f t="shared" ca="1" si="9"/>
        <v>0</v>
      </c>
      <c r="Q175" s="234">
        <f ca="1">Resultado!C25</f>
        <v>0</v>
      </c>
    </row>
    <row r="176" spans="1:17" ht="15.75">
      <c r="A176" t="s">
        <v>771</v>
      </c>
      <c r="B176" t="s">
        <v>794</v>
      </c>
      <c r="C176" t="s">
        <v>1265</v>
      </c>
      <c r="D176">
        <v>2</v>
      </c>
      <c r="E176">
        <v>1</v>
      </c>
      <c r="F176">
        <v>52</v>
      </c>
      <c r="G176">
        <v>999999</v>
      </c>
      <c r="H176">
        <v>999</v>
      </c>
      <c r="I176">
        <v>1</v>
      </c>
      <c r="J176">
        <v>2</v>
      </c>
      <c r="K176">
        <v>1</v>
      </c>
      <c r="L176">
        <v>99</v>
      </c>
      <c r="M176">
        <v>9</v>
      </c>
      <c r="N176">
        <v>3</v>
      </c>
      <c r="O176">
        <v>99999</v>
      </c>
      <c r="P176" s="234">
        <f t="shared" ca="1" si="9"/>
        <v>0</v>
      </c>
      <c r="Q176" s="234">
        <f ca="1">Resultado!C26</f>
        <v>0</v>
      </c>
    </row>
    <row r="177" spans="1:19" ht="15.75">
      <c r="A177" t="s">
        <v>771</v>
      </c>
      <c r="B177" t="s">
        <v>794</v>
      </c>
      <c r="C177" t="s">
        <v>1575</v>
      </c>
      <c r="D177">
        <v>2</v>
      </c>
      <c r="E177">
        <v>1</v>
      </c>
      <c r="F177">
        <v>52</v>
      </c>
      <c r="G177">
        <v>999999</v>
      </c>
      <c r="H177">
        <v>999</v>
      </c>
      <c r="I177">
        <v>1</v>
      </c>
      <c r="J177">
        <v>3</v>
      </c>
      <c r="K177">
        <v>1</v>
      </c>
      <c r="L177">
        <v>99</v>
      </c>
      <c r="M177">
        <v>9</v>
      </c>
      <c r="N177">
        <v>3</v>
      </c>
      <c r="O177">
        <v>99999</v>
      </c>
      <c r="P177" s="234">
        <f t="shared" si="9"/>
        <v>0</v>
      </c>
      <c r="Q177" s="234">
        <f>Resultado!D31</f>
        <v>0</v>
      </c>
    </row>
    <row r="178" spans="1:19" ht="15.75">
      <c r="A178" t="s">
        <v>771</v>
      </c>
      <c r="B178" t="s">
        <v>794</v>
      </c>
      <c r="C178" t="s">
        <v>1576</v>
      </c>
      <c r="D178">
        <v>2</v>
      </c>
      <c r="E178">
        <v>1</v>
      </c>
      <c r="F178">
        <v>52</v>
      </c>
      <c r="G178">
        <v>999999</v>
      </c>
      <c r="H178">
        <v>999</v>
      </c>
      <c r="I178">
        <v>1</v>
      </c>
      <c r="J178">
        <v>5</v>
      </c>
      <c r="K178">
        <v>1</v>
      </c>
      <c r="L178">
        <v>99</v>
      </c>
      <c r="M178">
        <v>9</v>
      </c>
      <c r="N178">
        <v>3</v>
      </c>
      <c r="O178">
        <v>99999</v>
      </c>
      <c r="P178" s="234">
        <f t="shared" ca="1" si="9"/>
        <v>0</v>
      </c>
      <c r="Q178" s="234">
        <f ca="1">Resultado!C31</f>
        <v>0</v>
      </c>
    </row>
    <row r="179" spans="1:19" ht="15.75">
      <c r="A179" t="s">
        <v>771</v>
      </c>
      <c r="B179" t="s">
        <v>794</v>
      </c>
      <c r="C179" t="s">
        <v>1577</v>
      </c>
      <c r="D179">
        <v>2</v>
      </c>
      <c r="E179">
        <v>1</v>
      </c>
      <c r="F179">
        <v>52</v>
      </c>
      <c r="G179">
        <v>999999</v>
      </c>
      <c r="H179">
        <v>999</v>
      </c>
      <c r="I179">
        <v>1</v>
      </c>
      <c r="J179">
        <v>6</v>
      </c>
      <c r="K179">
        <v>1</v>
      </c>
      <c r="L179">
        <v>99</v>
      </c>
      <c r="M179">
        <v>9</v>
      </c>
      <c r="N179">
        <v>3</v>
      </c>
      <c r="O179">
        <v>99999</v>
      </c>
      <c r="P179" s="234">
        <f t="shared" ca="1" si="9"/>
        <v>1233351.9575227718</v>
      </c>
      <c r="Q179" s="234">
        <f ca="1">Resultado!C32</f>
        <v>1233351.9575227718</v>
      </c>
    </row>
    <row r="180" spans="1:19" ht="15.75">
      <c r="A180" s="9" t="s">
        <v>772</v>
      </c>
      <c r="B180" t="s">
        <v>794</v>
      </c>
      <c r="C180" s="9" t="s">
        <v>1630</v>
      </c>
      <c r="D180">
        <v>1</v>
      </c>
      <c r="E180">
        <v>1</v>
      </c>
      <c r="F180">
        <v>51</v>
      </c>
      <c r="G180">
        <v>999999</v>
      </c>
      <c r="H180">
        <v>999</v>
      </c>
      <c r="I180">
        <v>1</v>
      </c>
      <c r="J180">
        <v>3</v>
      </c>
      <c r="K180">
        <v>9</v>
      </c>
      <c r="L180">
        <v>99</v>
      </c>
      <c r="M180">
        <v>9</v>
      </c>
      <c r="N180">
        <v>3</v>
      </c>
      <c r="O180">
        <v>99999</v>
      </c>
      <c r="P180" s="234">
        <f t="shared" si="9"/>
        <v>0</v>
      </c>
      <c r="Q180" s="254">
        <f>Resultado!D31</f>
        <v>0</v>
      </c>
    </row>
    <row r="181" spans="1:19" ht="15.75">
      <c r="A181" t="s">
        <v>772</v>
      </c>
      <c r="B181" t="s">
        <v>1623</v>
      </c>
      <c r="C181" s="9" t="s">
        <v>1631</v>
      </c>
      <c r="D181">
        <v>4</v>
      </c>
      <c r="E181">
        <v>3</v>
      </c>
      <c r="F181">
        <v>50</v>
      </c>
      <c r="G181">
        <v>117</v>
      </c>
      <c r="H181">
        <v>999</v>
      </c>
      <c r="I181">
        <v>99</v>
      </c>
      <c r="J181">
        <v>999</v>
      </c>
      <c r="K181">
        <v>9</v>
      </c>
      <c r="L181">
        <v>99</v>
      </c>
      <c r="M181">
        <v>9</v>
      </c>
      <c r="N181">
        <v>2</v>
      </c>
      <c r="O181">
        <v>99999</v>
      </c>
      <c r="P181" s="234">
        <f t="shared" ca="1" si="9"/>
        <v>11220.683000000005</v>
      </c>
      <c r="Q181" s="234">
        <f ca="1">SUM(INDIRECT("dados_MercadoBase[TE_E]"))</f>
        <v>11220.683000000005</v>
      </c>
    </row>
    <row r="182" spans="1:19" ht="15.75">
      <c r="A182" t="s">
        <v>772</v>
      </c>
      <c r="B182" t="s">
        <v>1632</v>
      </c>
      <c r="C182" s="9" t="s">
        <v>1633</v>
      </c>
      <c r="D182" s="418">
        <v>1</v>
      </c>
      <c r="E182" s="418">
        <v>1</v>
      </c>
      <c r="F182" s="418">
        <v>15</v>
      </c>
      <c r="G182" s="418">
        <v>175</v>
      </c>
      <c r="H182" s="418">
        <v>999</v>
      </c>
      <c r="I182" s="418">
        <v>4</v>
      </c>
      <c r="J182" s="418">
        <v>999</v>
      </c>
      <c r="K182" s="418">
        <v>9</v>
      </c>
      <c r="L182" s="418">
        <v>99</v>
      </c>
      <c r="M182" s="418">
        <v>9</v>
      </c>
      <c r="N182" s="418">
        <v>4</v>
      </c>
      <c r="O182" s="418">
        <v>99999</v>
      </c>
      <c r="P182" s="420">
        <f>IF(ISNUMBER(Q182),Q182,0)</f>
        <v>3.7699999999999997E-2</v>
      </c>
      <c r="Q182" s="420">
        <f>VLOOKUP(LnkTXTSigla,Informacoes[],8,FALSE)</f>
        <v>3.7699999999999997E-2</v>
      </c>
    </row>
    <row r="183" spans="1:19" ht="15.75">
      <c r="A183" t="s">
        <v>772</v>
      </c>
      <c r="B183" t="s">
        <v>1632</v>
      </c>
      <c r="C183" s="9" t="s">
        <v>1634</v>
      </c>
      <c r="D183" s="418">
        <v>1</v>
      </c>
      <c r="E183" s="418">
        <v>1</v>
      </c>
      <c r="F183" s="418">
        <v>15</v>
      </c>
      <c r="G183" s="418">
        <v>174</v>
      </c>
      <c r="H183" s="418">
        <v>999</v>
      </c>
      <c r="I183" s="418">
        <v>4</v>
      </c>
      <c r="J183" s="418">
        <v>999</v>
      </c>
      <c r="K183" s="418">
        <v>9</v>
      </c>
      <c r="L183" s="418">
        <v>99</v>
      </c>
      <c r="M183" s="418">
        <v>9</v>
      </c>
      <c r="N183" s="418">
        <v>4</v>
      </c>
      <c r="O183" s="422">
        <v>99999</v>
      </c>
      <c r="P183" s="420">
        <f>IF(ISNUMBER(Q183),Q183,0)</f>
        <v>0.04</v>
      </c>
      <c r="Q183" s="420">
        <v>0.04</v>
      </c>
    </row>
    <row r="184" spans="1:19" ht="15.75">
      <c r="A184" t="s">
        <v>772</v>
      </c>
      <c r="B184" t="s">
        <v>1632</v>
      </c>
      <c r="C184" s="9" t="s">
        <v>1635</v>
      </c>
      <c r="D184" s="418">
        <v>1</v>
      </c>
      <c r="E184" s="418">
        <v>1</v>
      </c>
      <c r="F184" s="418">
        <v>196</v>
      </c>
      <c r="G184" s="418">
        <v>250</v>
      </c>
      <c r="H184" s="418">
        <v>999</v>
      </c>
      <c r="I184" s="418">
        <v>4</v>
      </c>
      <c r="J184" s="418">
        <v>999</v>
      </c>
      <c r="K184" s="418">
        <v>9</v>
      </c>
      <c r="L184" s="418">
        <v>99</v>
      </c>
      <c r="M184" s="418">
        <v>9</v>
      </c>
      <c r="N184" s="418">
        <v>3</v>
      </c>
      <c r="O184" s="422">
        <v>99999</v>
      </c>
      <c r="P184" s="419">
        <f>IF(ISNUMBER(Q184),Q184,0)</f>
        <v>3209783.98</v>
      </c>
      <c r="Q184" s="424">
        <f>CAPA!D32</f>
        <v>3209783.98</v>
      </c>
      <c r="S184" s="9"/>
    </row>
    <row r="185" spans="1:19" ht="15.75">
      <c r="A185" t="s">
        <v>772</v>
      </c>
      <c r="B185" t="s">
        <v>1632</v>
      </c>
      <c r="C185" s="9" t="s">
        <v>1636</v>
      </c>
      <c r="D185" s="418">
        <v>1</v>
      </c>
      <c r="E185" s="418">
        <v>1</v>
      </c>
      <c r="F185" s="418">
        <v>14</v>
      </c>
      <c r="G185" s="418">
        <v>31</v>
      </c>
      <c r="H185" s="418">
        <v>999</v>
      </c>
      <c r="I185" s="418">
        <v>4</v>
      </c>
      <c r="J185" s="418">
        <v>999</v>
      </c>
      <c r="K185" s="418">
        <v>9</v>
      </c>
      <c r="L185" s="418">
        <v>99</v>
      </c>
      <c r="M185" s="418">
        <v>9</v>
      </c>
      <c r="N185" s="418">
        <v>4</v>
      </c>
      <c r="O185" s="418">
        <v>99999</v>
      </c>
      <c r="P185" s="254">
        <v>0</v>
      </c>
      <c r="Q185" s="254">
        <v>0</v>
      </c>
    </row>
    <row r="186" spans="1:19" ht="15.75">
      <c r="A186" t="s">
        <v>772</v>
      </c>
      <c r="B186" t="s">
        <v>1632</v>
      </c>
      <c r="C186" s="9" t="s">
        <v>1637</v>
      </c>
      <c r="D186" s="418">
        <v>1</v>
      </c>
      <c r="E186" s="418">
        <v>1</v>
      </c>
      <c r="F186" s="418">
        <v>15</v>
      </c>
      <c r="G186" s="418">
        <v>176</v>
      </c>
      <c r="H186" s="418">
        <v>999</v>
      </c>
      <c r="I186" s="418">
        <v>4</v>
      </c>
      <c r="J186" s="418">
        <v>999</v>
      </c>
      <c r="K186" s="418">
        <v>9</v>
      </c>
      <c r="L186" s="418">
        <v>99</v>
      </c>
      <c r="M186" s="418">
        <v>9</v>
      </c>
      <c r="N186" s="418">
        <v>3</v>
      </c>
      <c r="O186" s="418">
        <v>99999</v>
      </c>
      <c r="P186" s="254">
        <f t="shared" si="9"/>
        <v>2164658.84</v>
      </c>
      <c r="Q186" s="254">
        <f>CAPA!D33</f>
        <v>2164658.84</v>
      </c>
    </row>
    <row r="187" spans="1:19" ht="15.75">
      <c r="A187" t="s">
        <v>772</v>
      </c>
      <c r="B187" t="s">
        <v>1632</v>
      </c>
      <c r="C187" s="9" t="s">
        <v>1638</v>
      </c>
      <c r="D187" s="418">
        <v>1</v>
      </c>
      <c r="E187" s="418">
        <v>1</v>
      </c>
      <c r="F187" s="418">
        <v>203</v>
      </c>
      <c r="G187" s="418">
        <v>247</v>
      </c>
      <c r="H187" s="418">
        <v>999</v>
      </c>
      <c r="I187" s="418">
        <v>4</v>
      </c>
      <c r="J187" s="418">
        <v>999</v>
      </c>
      <c r="K187" s="418">
        <v>9</v>
      </c>
      <c r="L187" s="418">
        <v>99</v>
      </c>
      <c r="M187" s="418">
        <v>9</v>
      </c>
      <c r="N187" s="418">
        <v>3</v>
      </c>
      <c r="O187" s="418">
        <v>99999</v>
      </c>
      <c r="P187" s="234">
        <f t="shared" si="9"/>
        <v>5374442.8200000003</v>
      </c>
      <c r="Q187" s="234">
        <f>Resultado!D39</f>
        <v>5374442.8200000003</v>
      </c>
    </row>
    <row r="188" spans="1:19" ht="15.75">
      <c r="A188" t="s">
        <v>772</v>
      </c>
      <c r="B188" t="s">
        <v>1632</v>
      </c>
      <c r="C188" t="s">
        <v>253</v>
      </c>
      <c r="D188" s="418">
        <v>1</v>
      </c>
      <c r="E188" s="418">
        <v>1</v>
      </c>
      <c r="F188" s="418">
        <v>15</v>
      </c>
      <c r="G188" s="418">
        <v>194</v>
      </c>
      <c r="H188" s="418">
        <v>999</v>
      </c>
      <c r="I188" s="418">
        <v>4</v>
      </c>
      <c r="J188" s="418">
        <v>999</v>
      </c>
      <c r="K188" s="418">
        <v>9</v>
      </c>
      <c r="L188" s="418">
        <v>99</v>
      </c>
      <c r="M188" s="418">
        <v>9</v>
      </c>
      <c r="N188" s="418">
        <v>4</v>
      </c>
      <c r="O188" s="418">
        <v>99999</v>
      </c>
      <c r="P188" s="234">
        <f t="shared" si="9"/>
        <v>6.2799999999999995E-2</v>
      </c>
      <c r="Q188" s="249">
        <f>VLOOKUP(LnkTXTSigla,Informacoes[],16,FALSE)</f>
        <v>6.2799999999999995E-2</v>
      </c>
    </row>
    <row r="189" spans="1:19" ht="15.75">
      <c r="A189" t="s">
        <v>1623</v>
      </c>
      <c r="B189" t="s">
        <v>1639</v>
      </c>
      <c r="C189" t="s">
        <v>1640</v>
      </c>
      <c r="D189">
        <v>3</v>
      </c>
      <c r="E189">
        <v>99</v>
      </c>
      <c r="F189">
        <v>24</v>
      </c>
      <c r="G189">
        <v>63</v>
      </c>
      <c r="H189">
        <v>110</v>
      </c>
      <c r="I189">
        <v>99</v>
      </c>
      <c r="J189">
        <v>999</v>
      </c>
      <c r="K189">
        <v>9</v>
      </c>
      <c r="L189">
        <v>99</v>
      </c>
      <c r="M189">
        <v>9</v>
      </c>
      <c r="N189">
        <v>3</v>
      </c>
      <c r="O189">
        <v>99999</v>
      </c>
      <c r="P189" s="234">
        <f t="shared" si="9"/>
        <v>0</v>
      </c>
      <c r="Q189" s="234">
        <f>'Tabelas e Gráficos'!BP262</f>
        <v>0</v>
      </c>
    </row>
    <row r="190" spans="1:19" ht="15.75">
      <c r="A190" t="s">
        <v>1623</v>
      </c>
      <c r="B190" t="s">
        <v>1639</v>
      </c>
      <c r="C190" t="s">
        <v>1641</v>
      </c>
      <c r="D190">
        <v>3</v>
      </c>
      <c r="E190">
        <v>99</v>
      </c>
      <c r="F190">
        <v>24</v>
      </c>
      <c r="G190">
        <v>63</v>
      </c>
      <c r="H190">
        <v>111</v>
      </c>
      <c r="I190">
        <v>99</v>
      </c>
      <c r="J190">
        <v>999</v>
      </c>
      <c r="K190">
        <v>9</v>
      </c>
      <c r="L190">
        <v>99</v>
      </c>
      <c r="M190">
        <v>9</v>
      </c>
      <c r="N190">
        <v>3</v>
      </c>
      <c r="O190">
        <v>99999</v>
      </c>
      <c r="P190" s="234">
        <f t="shared" si="9"/>
        <v>0</v>
      </c>
      <c r="Q190" s="234">
        <f>'Tabelas e Gráficos'!BP263</f>
        <v>0</v>
      </c>
    </row>
    <row r="191" spans="1:19" ht="15.75">
      <c r="A191" t="s">
        <v>1623</v>
      </c>
      <c r="B191" t="s">
        <v>1639</v>
      </c>
      <c r="C191" t="s">
        <v>1642</v>
      </c>
      <c r="D191">
        <v>3</v>
      </c>
      <c r="E191">
        <v>99</v>
      </c>
      <c r="F191">
        <v>24</v>
      </c>
      <c r="G191">
        <v>63</v>
      </c>
      <c r="H191">
        <v>182</v>
      </c>
      <c r="I191">
        <v>99</v>
      </c>
      <c r="J191">
        <v>999</v>
      </c>
      <c r="K191">
        <v>9</v>
      </c>
      <c r="L191">
        <v>99</v>
      </c>
      <c r="M191">
        <v>9</v>
      </c>
      <c r="N191">
        <v>3</v>
      </c>
      <c r="O191">
        <v>99999</v>
      </c>
      <c r="P191" s="234">
        <f t="shared" si="9"/>
        <v>0</v>
      </c>
      <c r="Q191" s="234">
        <f>'Tabelas e Gráficos'!BP264</f>
        <v>0</v>
      </c>
    </row>
    <row r="192" spans="1:19" ht="15.75">
      <c r="A192" t="s">
        <v>1623</v>
      </c>
      <c r="B192" t="s">
        <v>1639</v>
      </c>
      <c r="C192" t="s">
        <v>1643</v>
      </c>
      <c r="D192">
        <v>3</v>
      </c>
      <c r="E192">
        <v>99</v>
      </c>
      <c r="F192">
        <v>24</v>
      </c>
      <c r="G192">
        <v>63</v>
      </c>
      <c r="H192">
        <v>183</v>
      </c>
      <c r="I192">
        <v>99</v>
      </c>
      <c r="J192">
        <v>999</v>
      </c>
      <c r="K192">
        <v>9</v>
      </c>
      <c r="L192">
        <v>99</v>
      </c>
      <c r="M192">
        <v>9</v>
      </c>
      <c r="N192">
        <v>3</v>
      </c>
      <c r="O192">
        <v>99999</v>
      </c>
      <c r="P192" s="234">
        <f t="shared" si="9"/>
        <v>211.13979662014631</v>
      </c>
      <c r="Q192" s="234">
        <f>'Tabelas e Gráficos'!BP265</f>
        <v>211.13979662014631</v>
      </c>
    </row>
    <row r="193" spans="1:17" ht="15.75">
      <c r="A193" t="s">
        <v>1623</v>
      </c>
      <c r="B193" t="s">
        <v>1639</v>
      </c>
      <c r="C193" t="s">
        <v>1644</v>
      </c>
      <c r="D193">
        <v>3</v>
      </c>
      <c r="E193">
        <v>99</v>
      </c>
      <c r="F193">
        <v>24</v>
      </c>
      <c r="G193">
        <v>63</v>
      </c>
      <c r="H193">
        <v>184</v>
      </c>
      <c r="I193">
        <v>99</v>
      </c>
      <c r="J193">
        <v>999</v>
      </c>
      <c r="K193">
        <v>9</v>
      </c>
      <c r="L193">
        <v>99</v>
      </c>
      <c r="M193">
        <v>9</v>
      </c>
      <c r="N193">
        <v>3</v>
      </c>
      <c r="O193">
        <v>99999</v>
      </c>
      <c r="P193" s="234">
        <f t="shared" si="9"/>
        <v>-2222.1592699971152</v>
      </c>
      <c r="Q193" s="234">
        <f>'Tabelas e Gráficos'!BP266</f>
        <v>-2222.1592699971152</v>
      </c>
    </row>
    <row r="194" spans="1:17" ht="15.75">
      <c r="A194" t="s">
        <v>1623</v>
      </c>
      <c r="B194" t="s">
        <v>1639</v>
      </c>
      <c r="C194" t="s">
        <v>1645</v>
      </c>
      <c r="D194">
        <v>3</v>
      </c>
      <c r="E194">
        <v>99</v>
      </c>
      <c r="F194">
        <v>24</v>
      </c>
      <c r="G194">
        <v>63</v>
      </c>
      <c r="H194">
        <v>112</v>
      </c>
      <c r="I194">
        <v>99</v>
      </c>
      <c r="J194">
        <v>999</v>
      </c>
      <c r="K194">
        <v>9</v>
      </c>
      <c r="L194">
        <v>99</v>
      </c>
      <c r="M194">
        <v>9</v>
      </c>
      <c r="N194">
        <v>3</v>
      </c>
      <c r="O194">
        <v>99999</v>
      </c>
      <c r="P194" s="234">
        <f t="shared" si="9"/>
        <v>847.70302090975565</v>
      </c>
      <c r="Q194" s="234">
        <f>'Tabelas e Gráficos'!BP267</f>
        <v>847.70302090975565</v>
      </c>
    </row>
    <row r="195" spans="1:17" ht="15.75">
      <c r="A195" t="s">
        <v>1623</v>
      </c>
      <c r="B195" t="s">
        <v>1639</v>
      </c>
      <c r="C195" t="s">
        <v>1646</v>
      </c>
      <c r="D195">
        <v>3</v>
      </c>
      <c r="E195">
        <v>99</v>
      </c>
      <c r="F195">
        <v>24</v>
      </c>
      <c r="G195">
        <v>61</v>
      </c>
      <c r="H195">
        <v>110</v>
      </c>
      <c r="I195">
        <v>99</v>
      </c>
      <c r="J195">
        <v>999</v>
      </c>
      <c r="K195">
        <v>9</v>
      </c>
      <c r="L195">
        <v>99</v>
      </c>
      <c r="M195">
        <v>9</v>
      </c>
      <c r="N195">
        <v>3</v>
      </c>
      <c r="O195">
        <v>99999</v>
      </c>
      <c r="P195" s="234">
        <f t="shared" si="9"/>
        <v>0</v>
      </c>
      <c r="Q195" s="234">
        <f>'Tabelas e Gráficos'!BQ262</f>
        <v>0</v>
      </c>
    </row>
    <row r="196" spans="1:17" ht="15.75">
      <c r="A196" t="s">
        <v>1623</v>
      </c>
      <c r="B196" t="s">
        <v>1639</v>
      </c>
      <c r="C196" t="s">
        <v>1647</v>
      </c>
      <c r="D196">
        <v>3</v>
      </c>
      <c r="E196">
        <v>99</v>
      </c>
      <c r="F196">
        <v>24</v>
      </c>
      <c r="G196">
        <v>61</v>
      </c>
      <c r="H196">
        <v>111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9"/>
        <v>0</v>
      </c>
      <c r="Q196" s="234">
        <f>'Tabelas e Gráficos'!BQ263</f>
        <v>0</v>
      </c>
    </row>
    <row r="197" spans="1:17" ht="15.75">
      <c r="A197" t="s">
        <v>1623</v>
      </c>
      <c r="B197" t="s">
        <v>1639</v>
      </c>
      <c r="C197" t="s">
        <v>1648</v>
      </c>
      <c r="D197">
        <v>3</v>
      </c>
      <c r="E197">
        <v>99</v>
      </c>
      <c r="F197">
        <v>24</v>
      </c>
      <c r="G197">
        <v>61</v>
      </c>
      <c r="H197">
        <v>182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9"/>
        <v>0</v>
      </c>
      <c r="Q197" s="234">
        <f>'Tabelas e Gráficos'!BQ264</f>
        <v>0</v>
      </c>
    </row>
    <row r="198" spans="1:17" ht="15.75">
      <c r="A198" t="s">
        <v>1623</v>
      </c>
      <c r="B198" t="s">
        <v>1639</v>
      </c>
      <c r="C198" t="s">
        <v>1649</v>
      </c>
      <c r="D198">
        <v>3</v>
      </c>
      <c r="E198">
        <v>99</v>
      </c>
      <c r="F198">
        <v>24</v>
      </c>
      <c r="G198">
        <v>61</v>
      </c>
      <c r="H198">
        <v>183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9"/>
        <v>1715.844708247542</v>
      </c>
      <c r="Q198" s="234">
        <f>'Tabelas e Gráficos'!BQ265</f>
        <v>1715.844708247542</v>
      </c>
    </row>
    <row r="199" spans="1:17" ht="15.75">
      <c r="A199" t="s">
        <v>1623</v>
      </c>
      <c r="B199" t="s">
        <v>1639</v>
      </c>
      <c r="C199" t="s">
        <v>1650</v>
      </c>
      <c r="D199">
        <v>3</v>
      </c>
      <c r="E199">
        <v>99</v>
      </c>
      <c r="F199">
        <v>24</v>
      </c>
      <c r="G199">
        <v>61</v>
      </c>
      <c r="H199">
        <v>184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9"/>
        <v>11510.213566801858</v>
      </c>
      <c r="Q199" s="234">
        <f>'Tabelas e Gráficos'!BQ266</f>
        <v>11510.213566801858</v>
      </c>
    </row>
    <row r="200" spans="1:17" ht="15.75">
      <c r="A200" t="s">
        <v>1623</v>
      </c>
      <c r="B200" t="s">
        <v>1639</v>
      </c>
      <c r="C200" t="s">
        <v>1651</v>
      </c>
      <c r="D200">
        <v>3</v>
      </c>
      <c r="E200">
        <v>99</v>
      </c>
      <c r="F200">
        <v>24</v>
      </c>
      <c r="G200">
        <v>61</v>
      </c>
      <c r="H200">
        <v>112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9"/>
        <v>2615.7024634445902</v>
      </c>
      <c r="Q200" s="234">
        <f>'Tabelas e Gráficos'!BQ267</f>
        <v>2615.7024634445902</v>
      </c>
    </row>
    <row r="201" spans="1:17" ht="15.75">
      <c r="A201" t="s">
        <v>1623</v>
      </c>
      <c r="B201" t="s">
        <v>1639</v>
      </c>
      <c r="C201" t="s">
        <v>1652</v>
      </c>
      <c r="D201">
        <v>3</v>
      </c>
      <c r="E201">
        <v>99</v>
      </c>
      <c r="F201">
        <v>24</v>
      </c>
      <c r="G201">
        <v>79</v>
      </c>
      <c r="H201">
        <v>110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9"/>
        <v>0</v>
      </c>
      <c r="Q201" s="234">
        <f>'Tabelas e Gráficos'!BR262</f>
        <v>0</v>
      </c>
    </row>
    <row r="202" spans="1:17" ht="15.75">
      <c r="A202" t="s">
        <v>1623</v>
      </c>
      <c r="B202" t="s">
        <v>1639</v>
      </c>
      <c r="C202" t="s">
        <v>1653</v>
      </c>
      <c r="D202">
        <v>3</v>
      </c>
      <c r="E202">
        <v>99</v>
      </c>
      <c r="F202">
        <v>24</v>
      </c>
      <c r="G202">
        <v>79</v>
      </c>
      <c r="H202">
        <v>111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9"/>
        <v>0</v>
      </c>
      <c r="Q202" s="234">
        <f>'Tabelas e Gráficos'!BR263</f>
        <v>0</v>
      </c>
    </row>
    <row r="203" spans="1:17" ht="15.75">
      <c r="A203" t="s">
        <v>1623</v>
      </c>
      <c r="B203" t="s">
        <v>1639</v>
      </c>
      <c r="C203" t="s">
        <v>1654</v>
      </c>
      <c r="D203">
        <v>3</v>
      </c>
      <c r="E203">
        <v>99</v>
      </c>
      <c r="F203">
        <v>24</v>
      </c>
      <c r="G203">
        <v>79</v>
      </c>
      <c r="H203">
        <v>182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9"/>
        <v>0</v>
      </c>
      <c r="Q203" s="234">
        <f>'Tabelas e Gráficos'!BR264</f>
        <v>0</v>
      </c>
    </row>
    <row r="204" spans="1:17" ht="15.75">
      <c r="A204" t="s">
        <v>1623</v>
      </c>
      <c r="B204" t="s">
        <v>1639</v>
      </c>
      <c r="C204" t="s">
        <v>1655</v>
      </c>
      <c r="D204">
        <v>3</v>
      </c>
      <c r="E204">
        <v>99</v>
      </c>
      <c r="F204">
        <v>24</v>
      </c>
      <c r="G204">
        <v>79</v>
      </c>
      <c r="H204">
        <v>183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9"/>
        <v>1926.9845048676884</v>
      </c>
      <c r="Q204" s="234">
        <f>'Tabelas e Gráficos'!BR265</f>
        <v>1926.9845048676884</v>
      </c>
    </row>
    <row r="205" spans="1:17" ht="15.75">
      <c r="A205" t="s">
        <v>1623</v>
      </c>
      <c r="B205" t="s">
        <v>1639</v>
      </c>
      <c r="C205" t="s">
        <v>1656</v>
      </c>
      <c r="D205">
        <v>3</v>
      </c>
      <c r="E205">
        <v>99</v>
      </c>
      <c r="F205">
        <v>24</v>
      </c>
      <c r="G205">
        <v>79</v>
      </c>
      <c r="H205">
        <v>184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9"/>
        <v>9288.054296804743</v>
      </c>
      <c r="Q205" s="234">
        <f>'Tabelas e Gráficos'!BR266</f>
        <v>9288.054296804743</v>
      </c>
    </row>
    <row r="206" spans="1:17" ht="15.75">
      <c r="A206" t="s">
        <v>1623</v>
      </c>
      <c r="B206" t="s">
        <v>1639</v>
      </c>
      <c r="C206" t="s">
        <v>1657</v>
      </c>
      <c r="D206">
        <v>3</v>
      </c>
      <c r="E206">
        <v>99</v>
      </c>
      <c r="F206">
        <v>24</v>
      </c>
      <c r="G206">
        <v>79</v>
      </c>
      <c r="H206">
        <v>112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9"/>
        <v>3463.4054843543458</v>
      </c>
      <c r="Q206" s="234">
        <f>'Tabelas e Gráficos'!BR267</f>
        <v>3463.4054843543458</v>
      </c>
    </row>
    <row r="207" spans="1:17" ht="15.75">
      <c r="A207" s="921" t="s">
        <v>772</v>
      </c>
      <c r="B207" s="921" t="s">
        <v>72</v>
      </c>
      <c r="C207" s="921" t="s">
        <v>1658</v>
      </c>
      <c r="D207" s="921">
        <v>2</v>
      </c>
      <c r="E207" s="921">
        <v>1</v>
      </c>
      <c r="F207" s="921">
        <v>51</v>
      </c>
      <c r="G207" s="921">
        <v>73</v>
      </c>
      <c r="H207" s="921">
        <v>999</v>
      </c>
      <c r="I207" s="921">
        <v>3</v>
      </c>
      <c r="J207" s="921">
        <v>15</v>
      </c>
      <c r="K207" s="921">
        <v>1</v>
      </c>
      <c r="L207" s="921">
        <v>99</v>
      </c>
      <c r="M207" s="921">
        <v>9</v>
      </c>
      <c r="N207" s="921">
        <v>3</v>
      </c>
      <c r="O207" s="921">
        <v>99999</v>
      </c>
      <c r="P207" s="234">
        <f t="shared" si="9"/>
        <v>0</v>
      </c>
      <c r="Q207" s="234">
        <f>Encargos!I20</f>
        <v>0</v>
      </c>
    </row>
    <row r="208" spans="1:17" ht="15.75">
      <c r="A208" s="921" t="s">
        <v>772</v>
      </c>
      <c r="B208" s="921" t="s">
        <v>1378</v>
      </c>
      <c r="C208" s="921" t="str">
        <f>Financeiros!C43</f>
        <v>CVA ccc</v>
      </c>
      <c r="D208" s="921">
        <v>2</v>
      </c>
      <c r="E208" s="921">
        <v>2</v>
      </c>
      <c r="F208" s="921">
        <f>Financeiros!F43</f>
        <v>19</v>
      </c>
      <c r="G208" s="921">
        <f>Financeiros!G43</f>
        <v>60</v>
      </c>
      <c r="H208" s="921">
        <f>Financeiros!H43</f>
        <v>999</v>
      </c>
      <c r="I208" s="921">
        <f>Financeiros!I43</f>
        <v>3</v>
      </c>
      <c r="J208" s="921">
        <f>Financeiros!J43</f>
        <v>13</v>
      </c>
      <c r="K208" s="921">
        <f>Financeiros!K43</f>
        <v>9</v>
      </c>
      <c r="L208" s="921">
        <v>99</v>
      </c>
      <c r="M208" s="921">
        <v>9</v>
      </c>
      <c r="N208" s="921">
        <v>3</v>
      </c>
      <c r="O208" s="921">
        <v>99999</v>
      </c>
      <c r="P208" s="1023">
        <f t="shared" ref="P208" si="10">IF(ISNUMBER(Q208),Q208,0)</f>
        <v>0</v>
      </c>
      <c r="Q208" s="234">
        <f>Financeiros!D43</f>
        <v>0</v>
      </c>
    </row>
    <row r="209" spans="1:17" ht="15.75">
      <c r="A209" s="921" t="s">
        <v>772</v>
      </c>
      <c r="B209" s="921" t="s">
        <v>1378</v>
      </c>
      <c r="C209" s="921" t="str">
        <f>Financeiros!C44</f>
        <v>CVA cde</v>
      </c>
      <c r="D209" s="921">
        <v>2</v>
      </c>
      <c r="E209" s="921">
        <v>2</v>
      </c>
      <c r="F209" s="921">
        <f>Financeiros!F44</f>
        <v>19</v>
      </c>
      <c r="G209" s="921">
        <f>Financeiros!G44</f>
        <v>60</v>
      </c>
      <c r="H209" s="921">
        <f>Financeiros!H44</f>
        <v>999</v>
      </c>
      <c r="I209" s="921">
        <f>Financeiros!I44</f>
        <v>3</v>
      </c>
      <c r="J209" s="921">
        <f>Financeiros!J44</f>
        <v>15</v>
      </c>
      <c r="K209" s="921">
        <f>Financeiros!K44</f>
        <v>9</v>
      </c>
      <c r="L209" s="921">
        <v>99</v>
      </c>
      <c r="M209" s="921">
        <v>9</v>
      </c>
      <c r="N209" s="921">
        <v>3</v>
      </c>
      <c r="O209" s="921">
        <v>99999</v>
      </c>
      <c r="P209" s="1023">
        <f t="shared" ref="P209:P266" si="11">IF(ISNUMBER(Q209),Q209,0)</f>
        <v>0</v>
      </c>
      <c r="Q209" s="234">
        <f>Financeiros!D44</f>
        <v>0</v>
      </c>
    </row>
    <row r="210" spans="1:17" ht="15.75">
      <c r="A210" s="921" t="s">
        <v>772</v>
      </c>
      <c r="B210" s="921" t="s">
        <v>1378</v>
      </c>
      <c r="C210" s="921" t="str">
        <f>Financeiros!C45</f>
        <v>CVA cde energia</v>
      </c>
      <c r="D210" s="921">
        <v>2</v>
      </c>
      <c r="E210" s="921">
        <v>2</v>
      </c>
      <c r="F210" s="921">
        <f>Financeiros!F45</f>
        <v>19</v>
      </c>
      <c r="G210" s="921">
        <f>Financeiros!G45</f>
        <v>60</v>
      </c>
      <c r="H210" s="921">
        <f>Financeiros!H45</f>
        <v>999</v>
      </c>
      <c r="I210" s="921">
        <f>Financeiros!I45</f>
        <v>3</v>
      </c>
      <c r="J210" s="921">
        <f>Financeiros!J45</f>
        <v>25</v>
      </c>
      <c r="K210" s="921">
        <f>Financeiros!K45</f>
        <v>9</v>
      </c>
      <c r="L210" s="921">
        <v>99</v>
      </c>
      <c r="M210" s="921">
        <v>9</v>
      </c>
      <c r="N210" s="921">
        <v>3</v>
      </c>
      <c r="O210" s="921">
        <v>99999</v>
      </c>
      <c r="P210" s="1023">
        <f t="shared" si="11"/>
        <v>0</v>
      </c>
      <c r="Q210" s="234">
        <f>Financeiros!D45</f>
        <v>0</v>
      </c>
    </row>
    <row r="211" spans="1:17" ht="15.75">
      <c r="A211" s="921" t="s">
        <v>772</v>
      </c>
      <c r="B211" s="921" t="s">
        <v>1378</v>
      </c>
      <c r="C211" s="921" t="str">
        <f>Financeiros!C46</f>
        <v>CVA RB - Nodal</v>
      </c>
      <c r="D211" s="921">
        <v>2</v>
      </c>
      <c r="E211" s="921">
        <v>2</v>
      </c>
      <c r="F211" s="921">
        <f>Financeiros!F46</f>
        <v>19</v>
      </c>
      <c r="G211" s="921">
        <f>Financeiros!G46</f>
        <v>60</v>
      </c>
      <c r="H211" s="921">
        <f>Financeiros!H46</f>
        <v>999</v>
      </c>
      <c r="I211" s="921">
        <f>Financeiros!I46</f>
        <v>1</v>
      </c>
      <c r="J211" s="921">
        <f>Financeiros!J46</f>
        <v>1</v>
      </c>
      <c r="K211" s="921">
        <f>Financeiros!K46</f>
        <v>9</v>
      </c>
      <c r="L211" s="921">
        <v>99</v>
      </c>
      <c r="M211" s="921">
        <v>9</v>
      </c>
      <c r="N211" s="921">
        <v>3</v>
      </c>
      <c r="O211" s="921">
        <v>99999</v>
      </c>
      <c r="P211" s="1023">
        <f t="shared" si="11"/>
        <v>0</v>
      </c>
      <c r="Q211" s="234">
        <f>Financeiros!D46</f>
        <v>0</v>
      </c>
    </row>
    <row r="212" spans="1:17" ht="15.75">
      <c r="A212" s="921" t="s">
        <v>772</v>
      </c>
      <c r="B212" s="921" t="s">
        <v>1378</v>
      </c>
      <c r="C212" s="921" t="str">
        <f>Financeiros!C47</f>
        <v>CVA RB - Fronteira</v>
      </c>
      <c r="D212" s="921">
        <v>2</v>
      </c>
      <c r="E212" s="921">
        <v>2</v>
      </c>
      <c r="F212" s="921">
        <f>Financeiros!F47</f>
        <v>19</v>
      </c>
      <c r="G212" s="921">
        <f>Financeiros!G47</f>
        <v>60</v>
      </c>
      <c r="H212" s="921">
        <f>Financeiros!H47</f>
        <v>999</v>
      </c>
      <c r="I212" s="921">
        <f>Financeiros!I47</f>
        <v>1</v>
      </c>
      <c r="J212" s="921">
        <f>Financeiros!J47</f>
        <v>1</v>
      </c>
      <c r="K212" s="921">
        <f>Financeiros!K47</f>
        <v>9</v>
      </c>
      <c r="L212" s="921">
        <v>99</v>
      </c>
      <c r="M212" s="921">
        <v>9</v>
      </c>
      <c r="N212" s="921">
        <v>3</v>
      </c>
      <c r="O212" s="921">
        <v>99999</v>
      </c>
      <c r="P212" s="1023">
        <f t="shared" si="11"/>
        <v>0</v>
      </c>
      <c r="Q212" s="234">
        <f>Financeiros!D47</f>
        <v>0</v>
      </c>
    </row>
    <row r="213" spans="1:17" ht="15.75">
      <c r="A213" s="921" t="s">
        <v>772</v>
      </c>
      <c r="B213" s="921" t="s">
        <v>1378</v>
      </c>
      <c r="C213" s="921" t="str">
        <f>Financeiros!C48</f>
        <v>CVA RB - TUSDg EXP</v>
      </c>
      <c r="D213" s="921">
        <v>2</v>
      </c>
      <c r="E213" s="921">
        <v>2</v>
      </c>
      <c r="F213" s="921">
        <f>Financeiros!F48</f>
        <v>19</v>
      </c>
      <c r="G213" s="921">
        <f>Financeiros!G48</f>
        <v>60</v>
      </c>
      <c r="H213" s="921">
        <f>Financeiros!H48</f>
        <v>999</v>
      </c>
      <c r="I213" s="921">
        <f>Financeiros!I48</f>
        <v>1</v>
      </c>
      <c r="J213" s="921">
        <f>Financeiros!J48</f>
        <v>1</v>
      </c>
      <c r="K213" s="921">
        <f>Financeiros!K48</f>
        <v>9</v>
      </c>
      <c r="L213" s="921">
        <v>99</v>
      </c>
      <c r="M213" s="921">
        <v>9</v>
      </c>
      <c r="N213" s="921">
        <v>3</v>
      </c>
      <c r="O213" s="921">
        <v>99999</v>
      </c>
      <c r="P213" s="1023">
        <f t="shared" si="11"/>
        <v>0</v>
      </c>
      <c r="Q213" s="234">
        <f>Financeiros!D48</f>
        <v>0</v>
      </c>
    </row>
    <row r="214" spans="1:17" ht="15.75">
      <c r="A214" s="921" t="s">
        <v>772</v>
      </c>
      <c r="B214" s="921" t="s">
        <v>1378</v>
      </c>
      <c r="C214" s="921" t="str">
        <f>Financeiros!C49</f>
        <v>CVA RB - TUSDg ONS</v>
      </c>
      <c r="D214" s="921">
        <v>2</v>
      </c>
      <c r="E214" s="921">
        <v>2</v>
      </c>
      <c r="F214" s="921">
        <f>Financeiros!F49</f>
        <v>19</v>
      </c>
      <c r="G214" s="921">
        <f>Financeiros!G49</f>
        <v>60</v>
      </c>
      <c r="H214" s="921">
        <f>Financeiros!H49</f>
        <v>999</v>
      </c>
      <c r="I214" s="921">
        <f>Financeiros!I49</f>
        <v>1</v>
      </c>
      <c r="J214" s="921">
        <f>Financeiros!J49</f>
        <v>1</v>
      </c>
      <c r="K214" s="921">
        <f>Financeiros!K49</f>
        <v>9</v>
      </c>
      <c r="L214" s="921">
        <v>99</v>
      </c>
      <c r="M214" s="921">
        <v>9</v>
      </c>
      <c r="N214" s="921">
        <v>3</v>
      </c>
      <c r="O214" s="921">
        <v>99999</v>
      </c>
      <c r="P214" s="1023">
        <f t="shared" si="11"/>
        <v>0</v>
      </c>
      <c r="Q214" s="234">
        <f>Financeiros!D49</f>
        <v>0</v>
      </c>
    </row>
    <row r="215" spans="1:17" ht="15.75">
      <c r="A215" s="921" t="s">
        <v>772</v>
      </c>
      <c r="B215" s="921" t="s">
        <v>1378</v>
      </c>
      <c r="C215" s="921" t="str">
        <f>Financeiros!C50</f>
        <v>CVA RB - EUST Itaipu</v>
      </c>
      <c r="D215" s="921">
        <v>2</v>
      </c>
      <c r="E215" s="921">
        <v>2</v>
      </c>
      <c r="F215" s="921">
        <f>Financeiros!F50</f>
        <v>19</v>
      </c>
      <c r="G215" s="921">
        <f>Financeiros!G50</f>
        <v>60</v>
      </c>
      <c r="H215" s="921">
        <f>Financeiros!H50</f>
        <v>999</v>
      </c>
      <c r="I215" s="921">
        <f>Financeiros!I50</f>
        <v>1</v>
      </c>
      <c r="J215" s="921">
        <f>Financeiros!J50</f>
        <v>1</v>
      </c>
      <c r="K215" s="921">
        <f>Financeiros!K50</f>
        <v>9</v>
      </c>
      <c r="L215" s="921">
        <v>99</v>
      </c>
      <c r="M215" s="921">
        <v>9</v>
      </c>
      <c r="N215" s="921">
        <v>3</v>
      </c>
      <c r="O215" s="921">
        <v>99999</v>
      </c>
      <c r="P215" s="1023">
        <f t="shared" si="11"/>
        <v>0</v>
      </c>
      <c r="Q215" s="234">
        <f>Financeiros!D50</f>
        <v>0</v>
      </c>
    </row>
    <row r="216" spans="1:17" ht="15.75">
      <c r="A216" s="921" t="s">
        <v>772</v>
      </c>
      <c r="B216" s="921" t="s">
        <v>1378</v>
      </c>
      <c r="C216" s="921" t="str">
        <f>Financeiros!C51</f>
        <v>CVA - Transporte Itaipu</v>
      </c>
      <c r="D216" s="921">
        <v>2</v>
      </c>
      <c r="E216" s="921">
        <v>2</v>
      </c>
      <c r="F216" s="921">
        <f>Financeiros!F51</f>
        <v>19</v>
      </c>
      <c r="G216" s="921">
        <f>Financeiros!G51</f>
        <v>60</v>
      </c>
      <c r="H216" s="921">
        <f>Financeiros!H51</f>
        <v>999</v>
      </c>
      <c r="I216" s="921">
        <f>Financeiros!I51</f>
        <v>1</v>
      </c>
      <c r="J216" s="921">
        <f>Financeiros!J51</f>
        <v>21</v>
      </c>
      <c r="K216" s="921">
        <f>Financeiros!K51</f>
        <v>9</v>
      </c>
      <c r="L216" s="921">
        <v>99</v>
      </c>
      <c r="M216" s="921">
        <v>9</v>
      </c>
      <c r="N216" s="921">
        <v>3</v>
      </c>
      <c r="O216" s="921">
        <v>99999</v>
      </c>
      <c r="P216" s="1023">
        <f t="shared" si="11"/>
        <v>0</v>
      </c>
      <c r="Q216" s="234">
        <f>Financeiros!D51</f>
        <v>0</v>
      </c>
    </row>
    <row r="217" spans="1:17" ht="15.75">
      <c r="A217" s="921" t="s">
        <v>772</v>
      </c>
      <c r="B217" s="921" t="s">
        <v>1378</v>
      </c>
      <c r="C217" s="921" t="str">
        <f>Financeiros!C52</f>
        <v>CVA - Energia - Energia de Revenda</v>
      </c>
      <c r="D217" s="921">
        <v>2</v>
      </c>
      <c r="E217" s="921">
        <v>2</v>
      </c>
      <c r="F217" s="921">
        <f>Financeiros!F52</f>
        <v>19</v>
      </c>
      <c r="G217" s="921">
        <f>Financeiros!G52</f>
        <v>60</v>
      </c>
      <c r="H217" s="921">
        <f>Financeiros!H52</f>
        <v>999</v>
      </c>
      <c r="I217" s="921">
        <f>Financeiros!I52</f>
        <v>2</v>
      </c>
      <c r="J217" s="921">
        <f>Financeiros!J52</f>
        <v>11</v>
      </c>
      <c r="K217" s="921">
        <f>Financeiros!K52</f>
        <v>9</v>
      </c>
      <c r="L217" s="921">
        <v>99</v>
      </c>
      <c r="M217" s="921">
        <v>9</v>
      </c>
      <c r="N217" s="921">
        <v>3</v>
      </c>
      <c r="O217" s="921">
        <v>99999</v>
      </c>
      <c r="P217" s="1023">
        <f t="shared" ca="1" si="11"/>
        <v>0</v>
      </c>
      <c r="Q217" s="234">
        <f ca="1">Financeiros!D52</f>
        <v>0</v>
      </c>
    </row>
    <row r="218" spans="1:17" ht="15.75">
      <c r="A218" s="921" t="s">
        <v>772</v>
      </c>
      <c r="B218" s="921" t="s">
        <v>1378</v>
      </c>
      <c r="C218" s="921" t="str">
        <f>Financeiros!C53</f>
        <v>CVA - Energia - Perda Não Técnica</v>
      </c>
      <c r="D218" s="921">
        <v>2</v>
      </c>
      <c r="E218" s="921">
        <v>2</v>
      </c>
      <c r="F218" s="921">
        <f>Financeiros!F53</f>
        <v>19</v>
      </c>
      <c r="G218" s="921">
        <f>Financeiros!G53</f>
        <v>60</v>
      </c>
      <c r="H218" s="921">
        <f>Financeiros!H53</f>
        <v>999</v>
      </c>
      <c r="I218" s="921">
        <f>Financeiros!I53</f>
        <v>2</v>
      </c>
      <c r="J218" s="921">
        <f>Financeiros!J53</f>
        <v>9</v>
      </c>
      <c r="K218" s="921">
        <f>Financeiros!K53</f>
        <v>9</v>
      </c>
      <c r="L218" s="921">
        <v>99</v>
      </c>
      <c r="M218" s="921">
        <v>9</v>
      </c>
      <c r="N218" s="921">
        <v>3</v>
      </c>
      <c r="O218" s="921">
        <v>99999</v>
      </c>
      <c r="P218" s="1023">
        <f t="shared" ca="1" si="11"/>
        <v>0</v>
      </c>
      <c r="Q218" s="234">
        <f ca="1">Financeiros!D53</f>
        <v>0</v>
      </c>
    </row>
    <row r="219" spans="1:17" ht="15.75">
      <c r="A219" s="921" t="s">
        <v>772</v>
      </c>
      <c r="B219" s="921" t="s">
        <v>1378</v>
      </c>
      <c r="C219" s="921" t="str">
        <f>Financeiros!C54</f>
        <v>CVA - Energia - Perda Técnica</v>
      </c>
      <c r="D219" s="921">
        <v>2</v>
      </c>
      <c r="E219" s="921">
        <v>2</v>
      </c>
      <c r="F219" s="921">
        <f>Financeiros!F54</f>
        <v>19</v>
      </c>
      <c r="G219" s="921">
        <f>Financeiros!G54</f>
        <v>60</v>
      </c>
      <c r="H219" s="921">
        <f>Financeiros!H54</f>
        <v>999</v>
      </c>
      <c r="I219" s="921">
        <f>Financeiros!I54</f>
        <v>2</v>
      </c>
      <c r="J219" s="921">
        <f>Financeiros!J54</f>
        <v>8</v>
      </c>
      <c r="K219" s="921">
        <f>Financeiros!K54</f>
        <v>9</v>
      </c>
      <c r="L219" s="921">
        <v>99</v>
      </c>
      <c r="M219" s="921">
        <v>9</v>
      </c>
      <c r="N219" s="921">
        <v>3</v>
      </c>
      <c r="O219" s="921">
        <v>99999</v>
      </c>
      <c r="P219" s="1023">
        <f t="shared" ca="1" si="11"/>
        <v>0</v>
      </c>
      <c r="Q219" s="234">
        <f ca="1">Financeiros!D54</f>
        <v>0</v>
      </c>
    </row>
    <row r="220" spans="1:17" ht="15.75">
      <c r="A220" s="921" t="s">
        <v>772</v>
      </c>
      <c r="B220" s="921" t="s">
        <v>1378</v>
      </c>
      <c r="C220" s="921" t="str">
        <f>Financeiros!C55</f>
        <v>CVA - Energia -  Perda de RB sobre a distribuição</v>
      </c>
      <c r="D220" s="921">
        <v>2</v>
      </c>
      <c r="E220" s="921">
        <v>2</v>
      </c>
      <c r="F220" s="921">
        <f>Financeiros!F55</f>
        <v>19</v>
      </c>
      <c r="G220" s="921">
        <f>Financeiros!G55</f>
        <v>60</v>
      </c>
      <c r="H220" s="921">
        <f>Financeiros!H55</f>
        <v>999</v>
      </c>
      <c r="I220" s="921">
        <f>Financeiros!I55</f>
        <v>2</v>
      </c>
      <c r="J220" s="921">
        <f>Financeiros!J55</f>
        <v>10</v>
      </c>
      <c r="K220" s="921">
        <f>Financeiros!K55</f>
        <v>9</v>
      </c>
      <c r="L220" s="921">
        <v>99</v>
      </c>
      <c r="M220" s="921">
        <v>9</v>
      </c>
      <c r="N220" s="921">
        <v>3</v>
      </c>
      <c r="O220" s="921">
        <v>99999</v>
      </c>
      <c r="P220" s="1023">
        <f t="shared" ca="1" si="11"/>
        <v>0</v>
      </c>
      <c r="Q220" s="234">
        <f ca="1">Financeiros!D55</f>
        <v>0</v>
      </c>
    </row>
    <row r="221" spans="1:17" ht="15.75">
      <c r="A221" s="921" t="s">
        <v>772</v>
      </c>
      <c r="B221" s="921" t="s">
        <v>1378</v>
      </c>
      <c r="C221" s="921" t="str">
        <f>Financeiros!C56</f>
        <v>CVA - Energia -  Perda de RB sobre o mercado cativo</v>
      </c>
      <c r="D221" s="921">
        <v>2</v>
      </c>
      <c r="E221" s="921">
        <v>2</v>
      </c>
      <c r="F221" s="921">
        <f>Financeiros!F56</f>
        <v>19</v>
      </c>
      <c r="G221" s="921">
        <f>Financeiros!G56</f>
        <v>60</v>
      </c>
      <c r="H221" s="921">
        <f>Financeiros!H56</f>
        <v>999</v>
      </c>
      <c r="I221" s="921">
        <f>Financeiros!I56</f>
        <v>2</v>
      </c>
      <c r="J221" s="921">
        <f>Financeiros!J56</f>
        <v>24</v>
      </c>
      <c r="K221" s="921">
        <f>Financeiros!K56</f>
        <v>9</v>
      </c>
      <c r="L221" s="921">
        <v>99</v>
      </c>
      <c r="M221" s="921">
        <v>9</v>
      </c>
      <c r="N221" s="921">
        <v>3</v>
      </c>
      <c r="O221" s="921">
        <v>99999</v>
      </c>
      <c r="P221" s="1023">
        <f t="shared" ca="1" si="11"/>
        <v>0</v>
      </c>
      <c r="Q221" s="234">
        <f ca="1">Financeiros!D56</f>
        <v>0</v>
      </c>
    </row>
    <row r="222" spans="1:17" ht="15.75">
      <c r="A222" s="921" t="s">
        <v>772</v>
      </c>
      <c r="B222" s="921" t="s">
        <v>1378</v>
      </c>
      <c r="C222" s="921" t="str">
        <f>Financeiros!C57</f>
        <v>CVA - Encargos - PROINFA</v>
      </c>
      <c r="D222" s="921">
        <v>2</v>
      </c>
      <c r="E222" s="921">
        <v>2</v>
      </c>
      <c r="F222" s="921">
        <f>Financeiros!F57</f>
        <v>19</v>
      </c>
      <c r="G222" s="921">
        <f>Financeiros!G57</f>
        <v>60</v>
      </c>
      <c r="H222" s="921">
        <f>Financeiros!H57</f>
        <v>999</v>
      </c>
      <c r="I222" s="921">
        <f>Financeiros!I57</f>
        <v>3</v>
      </c>
      <c r="J222" s="921">
        <f>Financeiros!J57</f>
        <v>18</v>
      </c>
      <c r="K222" s="921">
        <f>Financeiros!K57</f>
        <v>9</v>
      </c>
      <c r="L222" s="921">
        <v>99</v>
      </c>
      <c r="M222" s="921">
        <v>9</v>
      </c>
      <c r="N222" s="921">
        <v>3</v>
      </c>
      <c r="O222" s="921">
        <v>99999</v>
      </c>
      <c r="P222" s="1023">
        <f t="shared" ca="1" si="11"/>
        <v>0</v>
      </c>
      <c r="Q222" s="234">
        <f ca="1">Financeiros!D57</f>
        <v>0</v>
      </c>
    </row>
    <row r="223" spans="1:17" ht="15.75">
      <c r="A223" s="921" t="s">
        <v>772</v>
      </c>
      <c r="B223" s="921" t="s">
        <v>1378</v>
      </c>
      <c r="C223" s="921" t="str">
        <f>Financeiros!C58</f>
        <v>CVA - Encargos - CFURH</v>
      </c>
      <c r="D223" s="921">
        <v>2</v>
      </c>
      <c r="E223" s="921">
        <v>2</v>
      </c>
      <c r="F223" s="921">
        <f>Financeiros!F58</f>
        <v>19</v>
      </c>
      <c r="G223" s="921">
        <f>Financeiros!G58</f>
        <v>60</v>
      </c>
      <c r="H223" s="921">
        <f>Financeiros!H58</f>
        <v>999</v>
      </c>
      <c r="I223" s="921">
        <f>Financeiros!I58</f>
        <v>3</v>
      </c>
      <c r="J223" s="921">
        <f>Financeiros!J58</f>
        <v>16</v>
      </c>
      <c r="K223" s="921">
        <f>Financeiros!K58</f>
        <v>9</v>
      </c>
      <c r="L223" s="921">
        <v>99</v>
      </c>
      <c r="M223" s="921">
        <v>9</v>
      </c>
      <c r="N223" s="921">
        <v>3</v>
      </c>
      <c r="O223" s="921">
        <v>99999</v>
      </c>
      <c r="P223" s="1023">
        <f t="shared" si="11"/>
        <v>0</v>
      </c>
      <c r="Q223" s="234">
        <f>Financeiros!D58</f>
        <v>0</v>
      </c>
    </row>
    <row r="224" spans="1:17" ht="15.75">
      <c r="A224" s="921" t="s">
        <v>772</v>
      </c>
      <c r="B224" s="921" t="s">
        <v>1378</v>
      </c>
      <c r="C224" s="921" t="str">
        <f>Financeiros!C59</f>
        <v>CVA - Encargos - ESS/EER</v>
      </c>
      <c r="D224" s="921">
        <v>2</v>
      </c>
      <c r="E224" s="921">
        <v>2</v>
      </c>
      <c r="F224" s="921">
        <f>Financeiros!F59</f>
        <v>19</v>
      </c>
      <c r="G224" s="921">
        <f>Financeiros!G59</f>
        <v>60</v>
      </c>
      <c r="H224" s="921">
        <f>Financeiros!H59</f>
        <v>999</v>
      </c>
      <c r="I224" s="921">
        <f>Financeiros!I59</f>
        <v>3</v>
      </c>
      <c r="J224" s="921">
        <f>Financeiros!J59</f>
        <v>17</v>
      </c>
      <c r="K224" s="921">
        <f>Financeiros!K59</f>
        <v>9</v>
      </c>
      <c r="L224" s="921">
        <v>99</v>
      </c>
      <c r="M224" s="921">
        <v>9</v>
      </c>
      <c r="N224" s="921">
        <v>3</v>
      </c>
      <c r="O224" s="921">
        <v>99999</v>
      </c>
      <c r="P224" s="1023">
        <f t="shared" si="11"/>
        <v>0</v>
      </c>
      <c r="Q224" s="234">
        <f>Financeiros!D59</f>
        <v>0</v>
      </c>
    </row>
    <row r="225" spans="1:17" ht="15.75">
      <c r="A225" s="921" t="s">
        <v>772</v>
      </c>
      <c r="B225" s="921" t="s">
        <v>1378</v>
      </c>
      <c r="C225" s="921" t="str">
        <f>Financeiros!C60</f>
        <v>Saldo a Compensar CVAccc</v>
      </c>
      <c r="D225" s="921">
        <v>2</v>
      </c>
      <c r="E225" s="921">
        <v>2</v>
      </c>
      <c r="F225" s="921">
        <f>Financeiros!F60</f>
        <v>19</v>
      </c>
      <c r="G225" s="921">
        <f>Financeiros!G60</f>
        <v>64</v>
      </c>
      <c r="H225" s="921">
        <f>Financeiros!H60</f>
        <v>999</v>
      </c>
      <c r="I225" s="921">
        <f>Financeiros!I60</f>
        <v>3</v>
      </c>
      <c r="J225" s="921">
        <f>Financeiros!J60</f>
        <v>13</v>
      </c>
      <c r="K225" s="921">
        <f>Financeiros!K60</f>
        <v>9</v>
      </c>
      <c r="L225" s="921">
        <v>99</v>
      </c>
      <c r="M225" s="921">
        <v>9</v>
      </c>
      <c r="N225" s="921">
        <v>3</v>
      </c>
      <c r="O225" s="921">
        <v>99999</v>
      </c>
      <c r="P225" s="1023">
        <f t="shared" si="11"/>
        <v>0</v>
      </c>
      <c r="Q225" s="234">
        <f>Financeiros!D60</f>
        <v>0</v>
      </c>
    </row>
    <row r="226" spans="1:17" ht="15.75">
      <c r="A226" s="921" t="s">
        <v>772</v>
      </c>
      <c r="B226" s="921" t="s">
        <v>1378</v>
      </c>
      <c r="C226" s="921" t="str">
        <f>Financeiros!C61</f>
        <v>Saldo a Compensar CVAcde</v>
      </c>
      <c r="D226" s="921">
        <v>2</v>
      </c>
      <c r="E226" s="921">
        <v>2</v>
      </c>
      <c r="F226" s="921">
        <f>Financeiros!F61</f>
        <v>19</v>
      </c>
      <c r="G226" s="921">
        <f>Financeiros!G61</f>
        <v>64</v>
      </c>
      <c r="H226" s="921">
        <f>Financeiros!H61</f>
        <v>999</v>
      </c>
      <c r="I226" s="921">
        <f>Financeiros!I61</f>
        <v>3</v>
      </c>
      <c r="J226" s="921">
        <f>Financeiros!J61</f>
        <v>15</v>
      </c>
      <c r="K226" s="921">
        <f>Financeiros!K61</f>
        <v>9</v>
      </c>
      <c r="L226" s="921">
        <v>99</v>
      </c>
      <c r="M226" s="921">
        <v>9</v>
      </c>
      <c r="N226" s="921">
        <v>3</v>
      </c>
      <c r="O226" s="921">
        <v>99999</v>
      </c>
      <c r="P226" s="1023">
        <f t="shared" ca="1" si="11"/>
        <v>0</v>
      </c>
      <c r="Q226" s="234">
        <f ca="1">Financeiros!D61</f>
        <v>0</v>
      </c>
    </row>
    <row r="227" spans="1:17" ht="15.75">
      <c r="A227" s="921" t="s">
        <v>772</v>
      </c>
      <c r="B227" s="921" t="s">
        <v>1378</v>
      </c>
      <c r="C227" s="921" t="str">
        <f>Financeiros!C62</f>
        <v>Saldo a Compensar CVA cde energia</v>
      </c>
      <c r="D227" s="921">
        <v>2</v>
      </c>
      <c r="E227" s="921">
        <v>2</v>
      </c>
      <c r="F227" s="921">
        <f>Financeiros!F62</f>
        <v>19</v>
      </c>
      <c r="G227" s="921">
        <f>Financeiros!G62</f>
        <v>64</v>
      </c>
      <c r="H227" s="921">
        <f>Financeiros!H62</f>
        <v>999</v>
      </c>
      <c r="I227" s="921">
        <f>Financeiros!I62</f>
        <v>3</v>
      </c>
      <c r="J227" s="921">
        <f>Financeiros!J62</f>
        <v>25</v>
      </c>
      <c r="K227" s="921">
        <f>Financeiros!K62</f>
        <v>9</v>
      </c>
      <c r="L227" s="921">
        <v>99</v>
      </c>
      <c r="M227" s="921">
        <v>9</v>
      </c>
      <c r="N227" s="921">
        <v>3</v>
      </c>
      <c r="O227" s="921">
        <v>99999</v>
      </c>
      <c r="P227" s="1023">
        <f t="shared" ca="1" si="11"/>
        <v>0</v>
      </c>
      <c r="Q227" s="234">
        <f ca="1">Financeiros!D62</f>
        <v>0</v>
      </c>
    </row>
    <row r="228" spans="1:17" ht="15.75">
      <c r="A228" s="921" t="s">
        <v>772</v>
      </c>
      <c r="B228" s="921" t="s">
        <v>1378</v>
      </c>
      <c r="C228" s="921" t="str">
        <f>Financeiros!C63</f>
        <v>Saldo a Compensar CVA RB - Nodal</v>
      </c>
      <c r="D228" s="921">
        <v>2</v>
      </c>
      <c r="E228" s="921">
        <v>2</v>
      </c>
      <c r="F228" s="921">
        <f>Financeiros!F63</f>
        <v>19</v>
      </c>
      <c r="G228" s="921">
        <f>Financeiros!G63</f>
        <v>64</v>
      </c>
      <c r="H228" s="921">
        <f>Financeiros!H63</f>
        <v>999</v>
      </c>
      <c r="I228" s="921">
        <f>Financeiros!I63</f>
        <v>1</v>
      </c>
      <c r="J228" s="921">
        <f>Financeiros!J63</f>
        <v>1</v>
      </c>
      <c r="K228" s="921">
        <f>Financeiros!K63</f>
        <v>9</v>
      </c>
      <c r="L228" s="921">
        <v>99</v>
      </c>
      <c r="M228" s="921">
        <v>9</v>
      </c>
      <c r="N228" s="921">
        <v>3</v>
      </c>
      <c r="O228" s="921">
        <v>99999</v>
      </c>
      <c r="P228" s="1023">
        <f t="shared" ca="1" si="11"/>
        <v>0</v>
      </c>
      <c r="Q228" s="234">
        <f ca="1">Financeiros!D63</f>
        <v>0</v>
      </c>
    </row>
    <row r="229" spans="1:17" ht="15.75">
      <c r="A229" s="921" t="s">
        <v>772</v>
      </c>
      <c r="B229" s="921" t="s">
        <v>1378</v>
      </c>
      <c r="C229" s="921" t="str">
        <f>Financeiros!C64</f>
        <v>Saldo a Compensar CVA RB - Fronteira</v>
      </c>
      <c r="D229" s="921">
        <v>2</v>
      </c>
      <c r="E229" s="921">
        <v>2</v>
      </c>
      <c r="F229" s="921">
        <f>Financeiros!F64</f>
        <v>19</v>
      </c>
      <c r="G229" s="921">
        <f>Financeiros!G64</f>
        <v>64</v>
      </c>
      <c r="H229" s="921">
        <f>Financeiros!H64</f>
        <v>999</v>
      </c>
      <c r="I229" s="921">
        <f>Financeiros!I64</f>
        <v>1</v>
      </c>
      <c r="J229" s="921">
        <f>Financeiros!J64</f>
        <v>1</v>
      </c>
      <c r="K229" s="921">
        <f>Financeiros!K64</f>
        <v>9</v>
      </c>
      <c r="L229" s="921">
        <v>99</v>
      </c>
      <c r="M229" s="921">
        <v>9</v>
      </c>
      <c r="N229" s="921">
        <v>3</v>
      </c>
      <c r="O229" s="921">
        <v>99999</v>
      </c>
      <c r="P229" s="1023">
        <f t="shared" ca="1" si="11"/>
        <v>0</v>
      </c>
      <c r="Q229" s="234">
        <f ca="1">Financeiros!D64</f>
        <v>0</v>
      </c>
    </row>
    <row r="230" spans="1:17" ht="15.75">
      <c r="A230" s="921" t="s">
        <v>772</v>
      </c>
      <c r="B230" s="921" t="s">
        <v>1378</v>
      </c>
      <c r="C230" s="921" t="str">
        <f>Financeiros!C65</f>
        <v>Saldo a Compensar CVA RB - TUSDg EXP</v>
      </c>
      <c r="D230" s="921">
        <v>2</v>
      </c>
      <c r="E230" s="921">
        <v>2</v>
      </c>
      <c r="F230" s="921">
        <f>Financeiros!F65</f>
        <v>19</v>
      </c>
      <c r="G230" s="921">
        <f>Financeiros!G65</f>
        <v>64</v>
      </c>
      <c r="H230" s="921">
        <f>Financeiros!H65</f>
        <v>999</v>
      </c>
      <c r="I230" s="921">
        <f>Financeiros!I65</f>
        <v>1</v>
      </c>
      <c r="J230" s="921">
        <f>Financeiros!J65</f>
        <v>1</v>
      </c>
      <c r="K230" s="921">
        <f>Financeiros!K65</f>
        <v>9</v>
      </c>
      <c r="L230" s="921">
        <v>99</v>
      </c>
      <c r="M230" s="921">
        <v>9</v>
      </c>
      <c r="N230" s="921">
        <v>3</v>
      </c>
      <c r="O230" s="921">
        <v>99999</v>
      </c>
      <c r="P230" s="1023">
        <f t="shared" ca="1" si="11"/>
        <v>0</v>
      </c>
      <c r="Q230" s="234">
        <f ca="1">Financeiros!D65</f>
        <v>0</v>
      </c>
    </row>
    <row r="231" spans="1:17" ht="15.75">
      <c r="A231" s="921" t="s">
        <v>772</v>
      </c>
      <c r="B231" s="921" t="s">
        <v>1378</v>
      </c>
      <c r="C231" s="921" t="str">
        <f>Financeiros!C66</f>
        <v>Saldo a Compensar CVA RB - TUSDg ONS</v>
      </c>
      <c r="D231" s="921">
        <v>2</v>
      </c>
      <c r="E231" s="921">
        <v>2</v>
      </c>
      <c r="F231" s="921">
        <f>Financeiros!F66</f>
        <v>19</v>
      </c>
      <c r="G231" s="921">
        <f>Financeiros!G66</f>
        <v>64</v>
      </c>
      <c r="H231" s="921">
        <f>Financeiros!H66</f>
        <v>999</v>
      </c>
      <c r="I231" s="921">
        <f>Financeiros!I66</f>
        <v>1</v>
      </c>
      <c r="J231" s="921">
        <f>Financeiros!J66</f>
        <v>1</v>
      </c>
      <c r="K231" s="921">
        <f>Financeiros!K66</f>
        <v>9</v>
      </c>
      <c r="L231" s="921">
        <v>99</v>
      </c>
      <c r="M231" s="921">
        <v>9</v>
      </c>
      <c r="N231" s="921">
        <v>3</v>
      </c>
      <c r="O231" s="921">
        <v>99999</v>
      </c>
      <c r="P231" s="1023">
        <f t="shared" ca="1" si="11"/>
        <v>0</v>
      </c>
      <c r="Q231" s="234">
        <f ca="1">Financeiros!D66</f>
        <v>0</v>
      </c>
    </row>
    <row r="232" spans="1:17" ht="15.75">
      <c r="A232" s="921" t="s">
        <v>772</v>
      </c>
      <c r="B232" s="921" t="s">
        <v>1378</v>
      </c>
      <c r="C232" s="921" t="str">
        <f>Financeiros!C67</f>
        <v>Saldo a Compensar CVA RB - EUST Itaipu</v>
      </c>
      <c r="D232" s="921">
        <v>2</v>
      </c>
      <c r="E232" s="921">
        <v>2</v>
      </c>
      <c r="F232" s="921">
        <f>Financeiros!F67</f>
        <v>19</v>
      </c>
      <c r="G232" s="921">
        <f>Financeiros!G67</f>
        <v>64</v>
      </c>
      <c r="H232" s="921">
        <f>Financeiros!H67</f>
        <v>999</v>
      </c>
      <c r="I232" s="921">
        <f>Financeiros!I67</f>
        <v>1</v>
      </c>
      <c r="J232" s="921">
        <f>Financeiros!J67</f>
        <v>23</v>
      </c>
      <c r="K232" s="921">
        <f>Financeiros!K67</f>
        <v>9</v>
      </c>
      <c r="L232" s="921">
        <v>99</v>
      </c>
      <c r="M232" s="921">
        <v>9</v>
      </c>
      <c r="N232" s="921">
        <v>3</v>
      </c>
      <c r="O232" s="921">
        <v>99999</v>
      </c>
      <c r="P232" s="1023">
        <f t="shared" ca="1" si="11"/>
        <v>0</v>
      </c>
      <c r="Q232" s="234">
        <f ca="1">Financeiros!D67</f>
        <v>0</v>
      </c>
    </row>
    <row r="233" spans="1:17" ht="15.75">
      <c r="A233" s="921" t="s">
        <v>772</v>
      </c>
      <c r="B233" s="921" t="s">
        <v>1378</v>
      </c>
      <c r="C233" s="921" t="str">
        <f>Financeiros!C68</f>
        <v>Saldo a Compensar CVA - Transporte Itaipu</v>
      </c>
      <c r="D233" s="921">
        <v>2</v>
      </c>
      <c r="E233" s="921">
        <v>2</v>
      </c>
      <c r="F233" s="921">
        <f>Financeiros!F68</f>
        <v>19</v>
      </c>
      <c r="G233" s="921">
        <f>Financeiros!G68</f>
        <v>64</v>
      </c>
      <c r="H233" s="921">
        <f>Financeiros!H68</f>
        <v>999</v>
      </c>
      <c r="I233" s="921">
        <f>Financeiros!I68</f>
        <v>1</v>
      </c>
      <c r="J233" s="921">
        <f>Financeiros!J68</f>
        <v>21</v>
      </c>
      <c r="K233" s="921">
        <f>Financeiros!K68</f>
        <v>9</v>
      </c>
      <c r="L233" s="921">
        <v>99</v>
      </c>
      <c r="M233" s="921">
        <v>9</v>
      </c>
      <c r="N233" s="921">
        <v>3</v>
      </c>
      <c r="O233" s="921">
        <v>99999</v>
      </c>
      <c r="P233" s="1023">
        <f t="shared" ca="1" si="11"/>
        <v>0</v>
      </c>
      <c r="Q233" s="234">
        <f ca="1">Financeiros!D68</f>
        <v>0</v>
      </c>
    </row>
    <row r="234" spans="1:17" ht="15.75">
      <c r="A234" s="921" t="s">
        <v>772</v>
      </c>
      <c r="B234" s="921" t="s">
        <v>1378</v>
      </c>
      <c r="C234" s="921" t="str">
        <f>Financeiros!C69</f>
        <v>Saldo a Compensar CVA - Energia - Energia de Revenda</v>
      </c>
      <c r="D234" s="921">
        <v>2</v>
      </c>
      <c r="E234" s="921">
        <v>2</v>
      </c>
      <c r="F234" s="921">
        <f>Financeiros!F69</f>
        <v>19</v>
      </c>
      <c r="G234" s="921">
        <f>Financeiros!G69</f>
        <v>64</v>
      </c>
      <c r="H234" s="921">
        <f>Financeiros!H69</f>
        <v>999</v>
      </c>
      <c r="I234" s="921">
        <f>Financeiros!I69</f>
        <v>2</v>
      </c>
      <c r="J234" s="921">
        <f>Financeiros!J69</f>
        <v>11</v>
      </c>
      <c r="K234" s="921">
        <f>Financeiros!K69</f>
        <v>9</v>
      </c>
      <c r="L234" s="921">
        <v>99</v>
      </c>
      <c r="M234" s="921">
        <v>9</v>
      </c>
      <c r="N234" s="921">
        <v>3</v>
      </c>
      <c r="O234" s="921">
        <v>99999</v>
      </c>
      <c r="P234" s="1023">
        <f t="shared" ca="1" si="11"/>
        <v>0</v>
      </c>
      <c r="Q234" s="234">
        <f ca="1">Financeiros!D69</f>
        <v>0</v>
      </c>
    </row>
    <row r="235" spans="1:17" ht="15.75">
      <c r="A235" s="921" t="s">
        <v>772</v>
      </c>
      <c r="B235" s="921" t="s">
        <v>1378</v>
      </c>
      <c r="C235" s="921" t="str">
        <f>Financeiros!C70</f>
        <v>Saldo a Compensar CVA - Energia - Perda Não Técnica</v>
      </c>
      <c r="D235" s="921">
        <v>2</v>
      </c>
      <c r="E235" s="921">
        <v>2</v>
      </c>
      <c r="F235" s="921">
        <f>Financeiros!F70</f>
        <v>19</v>
      </c>
      <c r="G235" s="921">
        <f>Financeiros!G70</f>
        <v>64</v>
      </c>
      <c r="H235" s="921">
        <f>Financeiros!H70</f>
        <v>999</v>
      </c>
      <c r="I235" s="921">
        <f>Financeiros!I70</f>
        <v>2</v>
      </c>
      <c r="J235" s="921">
        <f>Financeiros!J70</f>
        <v>9</v>
      </c>
      <c r="K235" s="921">
        <f>Financeiros!K70</f>
        <v>9</v>
      </c>
      <c r="L235" s="921">
        <v>99</v>
      </c>
      <c r="M235" s="921">
        <v>9</v>
      </c>
      <c r="N235" s="921">
        <v>3</v>
      </c>
      <c r="O235" s="921">
        <v>99999</v>
      </c>
      <c r="P235" s="1023">
        <f t="shared" ca="1" si="11"/>
        <v>0</v>
      </c>
      <c r="Q235" s="234">
        <f ca="1">Financeiros!D70</f>
        <v>0</v>
      </c>
    </row>
    <row r="236" spans="1:17" ht="15.75">
      <c r="A236" s="921" t="s">
        <v>772</v>
      </c>
      <c r="B236" s="921" t="s">
        <v>1378</v>
      </c>
      <c r="C236" s="921" t="str">
        <f>Financeiros!C71</f>
        <v>Saldo a Compensar CVA - Energia - Perda Técnica</v>
      </c>
      <c r="D236" s="921">
        <v>2</v>
      </c>
      <c r="E236" s="921">
        <v>2</v>
      </c>
      <c r="F236" s="921">
        <f>Financeiros!F71</f>
        <v>19</v>
      </c>
      <c r="G236" s="921">
        <f>Financeiros!G71</f>
        <v>64</v>
      </c>
      <c r="H236" s="921">
        <f>Financeiros!H71</f>
        <v>999</v>
      </c>
      <c r="I236" s="921">
        <f>Financeiros!I71</f>
        <v>2</v>
      </c>
      <c r="J236" s="921">
        <f>Financeiros!J71</f>
        <v>8</v>
      </c>
      <c r="K236" s="921">
        <f>Financeiros!K71</f>
        <v>9</v>
      </c>
      <c r="L236" s="921">
        <v>99</v>
      </c>
      <c r="M236" s="921">
        <v>9</v>
      </c>
      <c r="N236" s="921">
        <v>3</v>
      </c>
      <c r="O236" s="921">
        <v>99999</v>
      </c>
      <c r="P236" s="1023">
        <f t="shared" ca="1" si="11"/>
        <v>0</v>
      </c>
      <c r="Q236" s="234">
        <f ca="1">Financeiros!D71</f>
        <v>0</v>
      </c>
    </row>
    <row r="237" spans="1:17" ht="15.75">
      <c r="A237" s="921" t="s">
        <v>772</v>
      </c>
      <c r="B237" s="921" t="s">
        <v>1378</v>
      </c>
      <c r="C237" s="921" t="str">
        <f>Financeiros!C72</f>
        <v>Saldo a Compensar CVA - Energia -  Perda de RB sobre a distribuição</v>
      </c>
      <c r="D237" s="921">
        <v>2</v>
      </c>
      <c r="E237" s="921">
        <v>2</v>
      </c>
      <c r="F237" s="921">
        <f>Financeiros!F72</f>
        <v>19</v>
      </c>
      <c r="G237" s="921">
        <f>Financeiros!G72</f>
        <v>64</v>
      </c>
      <c r="H237" s="921">
        <f>Financeiros!H72</f>
        <v>999</v>
      </c>
      <c r="I237" s="921">
        <f>Financeiros!I72</f>
        <v>2</v>
      </c>
      <c r="J237" s="921">
        <f>Financeiros!J72</f>
        <v>10</v>
      </c>
      <c r="K237" s="921">
        <f>Financeiros!K72</f>
        <v>9</v>
      </c>
      <c r="L237" s="921">
        <v>99</v>
      </c>
      <c r="M237" s="921">
        <v>9</v>
      </c>
      <c r="N237" s="921">
        <v>3</v>
      </c>
      <c r="O237" s="921">
        <v>99999</v>
      </c>
      <c r="P237" s="1023">
        <f t="shared" ca="1" si="11"/>
        <v>0</v>
      </c>
      <c r="Q237" s="234">
        <f ca="1">Financeiros!D72</f>
        <v>0</v>
      </c>
    </row>
    <row r="238" spans="1:17" ht="15.75">
      <c r="A238" s="921" t="s">
        <v>772</v>
      </c>
      <c r="B238" s="921" t="s">
        <v>1378</v>
      </c>
      <c r="C238" s="921" t="str">
        <f>Financeiros!C73</f>
        <v>Saldo a Compensar CVA - Energia -  Perda de RB sobre o mercado cativo</v>
      </c>
      <c r="D238" s="921">
        <v>2</v>
      </c>
      <c r="E238" s="921">
        <v>2</v>
      </c>
      <c r="F238" s="921">
        <f>Financeiros!F73</f>
        <v>19</v>
      </c>
      <c r="G238" s="921">
        <f>Financeiros!G73</f>
        <v>64</v>
      </c>
      <c r="H238" s="921">
        <f>Financeiros!H73</f>
        <v>999</v>
      </c>
      <c r="I238" s="921">
        <f>Financeiros!I73</f>
        <v>2</v>
      </c>
      <c r="J238" s="921">
        <f>Financeiros!J73</f>
        <v>24</v>
      </c>
      <c r="K238" s="921">
        <f>Financeiros!K73</f>
        <v>9</v>
      </c>
      <c r="L238" s="921">
        <v>99</v>
      </c>
      <c r="M238" s="921">
        <v>9</v>
      </c>
      <c r="N238" s="921">
        <v>3</v>
      </c>
      <c r="O238" s="921">
        <v>99999</v>
      </c>
      <c r="P238" s="1023">
        <f t="shared" ca="1" si="11"/>
        <v>0</v>
      </c>
      <c r="Q238" s="234">
        <f ca="1">Financeiros!D73</f>
        <v>0</v>
      </c>
    </row>
    <row r="239" spans="1:17" ht="15.75">
      <c r="A239" s="921" t="s">
        <v>772</v>
      </c>
      <c r="B239" s="921" t="s">
        <v>1378</v>
      </c>
      <c r="C239" s="921" t="str">
        <f>Financeiros!C74</f>
        <v>Saldo a Compensar CVA - Encargos - PROINFA</v>
      </c>
      <c r="D239" s="921">
        <v>2</v>
      </c>
      <c r="E239" s="921">
        <v>2</v>
      </c>
      <c r="F239" s="921">
        <f>Financeiros!F74</f>
        <v>19</v>
      </c>
      <c r="G239" s="921">
        <f>Financeiros!G74</f>
        <v>64</v>
      </c>
      <c r="H239" s="921">
        <f>Financeiros!H74</f>
        <v>999</v>
      </c>
      <c r="I239" s="921">
        <f>Financeiros!I74</f>
        <v>3</v>
      </c>
      <c r="J239" s="921">
        <f>Financeiros!J74</f>
        <v>18</v>
      </c>
      <c r="K239" s="921">
        <f>Financeiros!K74</f>
        <v>9</v>
      </c>
      <c r="L239" s="921">
        <v>99</v>
      </c>
      <c r="M239" s="921">
        <v>9</v>
      </c>
      <c r="N239" s="921">
        <v>3</v>
      </c>
      <c r="O239" s="921">
        <v>99999</v>
      </c>
      <c r="P239" s="1023">
        <f t="shared" ca="1" si="11"/>
        <v>0</v>
      </c>
      <c r="Q239" s="234">
        <f ca="1">Financeiros!D74</f>
        <v>0</v>
      </c>
    </row>
    <row r="240" spans="1:17" ht="15.75">
      <c r="A240" s="921" t="s">
        <v>772</v>
      </c>
      <c r="B240" s="921" t="s">
        <v>1378</v>
      </c>
      <c r="C240" s="921" t="str">
        <f>Financeiros!C75</f>
        <v>Saldo a Compensar CVA - Encargos - CFURH</v>
      </c>
      <c r="D240" s="921">
        <v>2</v>
      </c>
      <c r="E240" s="921">
        <v>2</v>
      </c>
      <c r="F240" s="921">
        <f>Financeiros!F75</f>
        <v>19</v>
      </c>
      <c r="G240" s="921">
        <f>Financeiros!G75</f>
        <v>64</v>
      </c>
      <c r="H240" s="921">
        <f>Financeiros!H75</f>
        <v>999</v>
      </c>
      <c r="I240" s="921">
        <f>Financeiros!I75</f>
        <v>3</v>
      </c>
      <c r="J240" s="921">
        <f>Financeiros!J75</f>
        <v>16</v>
      </c>
      <c r="K240" s="921">
        <f>Financeiros!K75</f>
        <v>9</v>
      </c>
      <c r="L240" s="921">
        <v>99</v>
      </c>
      <c r="M240" s="921">
        <v>9</v>
      </c>
      <c r="N240" s="921">
        <v>3</v>
      </c>
      <c r="O240" s="921">
        <v>99999</v>
      </c>
      <c r="P240" s="1023">
        <f t="shared" ca="1" si="11"/>
        <v>0</v>
      </c>
      <c r="Q240" s="234">
        <f ca="1">Financeiros!D75</f>
        <v>0</v>
      </c>
    </row>
    <row r="241" spans="1:17" ht="15.75">
      <c r="A241" s="921" t="s">
        <v>772</v>
      </c>
      <c r="B241" s="921" t="s">
        <v>1378</v>
      </c>
      <c r="C241" s="921" t="str">
        <f>Financeiros!C76</f>
        <v>Saldo a Compensar CVA - Encargos - ESS/EER</v>
      </c>
      <c r="D241" s="921">
        <v>2</v>
      </c>
      <c r="E241" s="921">
        <v>2</v>
      </c>
      <c r="F241" s="921">
        <f>Financeiros!F76</f>
        <v>19</v>
      </c>
      <c r="G241" s="921">
        <f>Financeiros!G76</f>
        <v>64</v>
      </c>
      <c r="H241" s="921">
        <f>Financeiros!H76</f>
        <v>999</v>
      </c>
      <c r="I241" s="921">
        <f>Financeiros!I76</f>
        <v>3</v>
      </c>
      <c r="J241" s="921">
        <f>Financeiros!J76</f>
        <v>17</v>
      </c>
      <c r="K241" s="921">
        <f>Financeiros!K76</f>
        <v>9</v>
      </c>
      <c r="L241" s="921">
        <v>99</v>
      </c>
      <c r="M241" s="921">
        <v>9</v>
      </c>
      <c r="N241" s="921">
        <v>3</v>
      </c>
      <c r="O241" s="921">
        <v>99999</v>
      </c>
      <c r="P241" s="1023">
        <f t="shared" ca="1" si="11"/>
        <v>0</v>
      </c>
      <c r="Q241" s="234">
        <f ca="1">Financeiros!D76</f>
        <v>0</v>
      </c>
    </row>
    <row r="242" spans="1:17" ht="15.75">
      <c r="A242" s="921" t="s">
        <v>772</v>
      </c>
      <c r="B242" s="921" t="s">
        <v>1378</v>
      </c>
      <c r="C242" s="921" t="str">
        <f>Financeiros!C77</f>
        <v>Reversão de Risco Hidrológico</v>
      </c>
      <c r="D242" s="921">
        <v>2</v>
      </c>
      <c r="E242" s="921">
        <v>2</v>
      </c>
      <c r="F242" s="921">
        <f>Financeiros!F77</f>
        <v>22</v>
      </c>
      <c r="G242" s="921">
        <f>Financeiros!G77</f>
        <v>62</v>
      </c>
      <c r="H242" s="921">
        <f>Financeiros!H77</f>
        <v>220</v>
      </c>
      <c r="I242" s="921">
        <f>Financeiros!I77</f>
        <v>2</v>
      </c>
      <c r="J242" s="921">
        <f>Financeiros!J77</f>
        <v>30</v>
      </c>
      <c r="K242" s="921">
        <v>9</v>
      </c>
      <c r="L242" s="921">
        <v>99</v>
      </c>
      <c r="M242" s="921">
        <v>9</v>
      </c>
      <c r="N242" s="921">
        <v>3</v>
      </c>
      <c r="O242" s="921">
        <v>99999</v>
      </c>
      <c r="P242" s="1023">
        <f t="shared" ref="P242" ca="1" si="12">IF(ISNUMBER(Q242),Q242,0)</f>
        <v>0</v>
      </c>
      <c r="Q242" s="234">
        <f ca="1">Financeiros!D77</f>
        <v>0</v>
      </c>
    </row>
    <row r="243" spans="1:17" ht="15.75">
      <c r="A243" s="921" t="s">
        <v>772</v>
      </c>
      <c r="B243" s="921" t="s">
        <v>1378</v>
      </c>
      <c r="C243" s="921" t="s">
        <v>1659</v>
      </c>
      <c r="D243" s="921">
        <v>5</v>
      </c>
      <c r="E243" s="921">
        <v>2</v>
      </c>
      <c r="F243" s="921">
        <v>19</v>
      </c>
      <c r="G243" s="921">
        <v>65</v>
      </c>
      <c r="H243" s="921">
        <v>172</v>
      </c>
      <c r="I243" s="921">
        <v>1</v>
      </c>
      <c r="J243" s="921">
        <v>1</v>
      </c>
      <c r="K243" s="921">
        <v>9</v>
      </c>
      <c r="L243" s="921">
        <v>99</v>
      </c>
      <c r="M243" s="921">
        <v>9</v>
      </c>
      <c r="N243" s="921">
        <v>3</v>
      </c>
      <c r="O243" s="921">
        <v>99999</v>
      </c>
      <c r="P243" s="1023">
        <f t="shared" si="11"/>
        <v>0</v>
      </c>
      <c r="Q243" s="234">
        <f>CVA!$D$12</f>
        <v>0</v>
      </c>
    </row>
    <row r="244" spans="1:17" ht="15.75">
      <c r="A244" s="921" t="s">
        <v>772</v>
      </c>
      <c r="B244" s="921" t="s">
        <v>1378</v>
      </c>
      <c r="C244" s="921" t="s">
        <v>1660</v>
      </c>
      <c r="D244" s="921">
        <v>5</v>
      </c>
      <c r="E244" s="921">
        <v>2</v>
      </c>
      <c r="F244" s="921">
        <v>19</v>
      </c>
      <c r="G244" s="921">
        <v>65</v>
      </c>
      <c r="H244" s="921">
        <v>172</v>
      </c>
      <c r="I244" s="921">
        <v>1</v>
      </c>
      <c r="J244" s="921">
        <v>21</v>
      </c>
      <c r="K244" s="921">
        <v>9</v>
      </c>
      <c r="L244" s="921">
        <v>99</v>
      </c>
      <c r="M244" s="921">
        <v>9</v>
      </c>
      <c r="N244" s="921">
        <v>3</v>
      </c>
      <c r="O244" s="921">
        <v>99999</v>
      </c>
      <c r="P244" s="1023">
        <f t="shared" si="11"/>
        <v>0</v>
      </c>
      <c r="Q244" s="234">
        <f>CVA!$D$15</f>
        <v>0</v>
      </c>
    </row>
    <row r="245" spans="1:17" ht="15.75">
      <c r="A245" s="921" t="s">
        <v>772</v>
      </c>
      <c r="B245" s="921" t="s">
        <v>1378</v>
      </c>
      <c r="C245" s="921" t="s">
        <v>1661</v>
      </c>
      <c r="D245" s="921">
        <v>5</v>
      </c>
      <c r="E245" s="921">
        <v>2</v>
      </c>
      <c r="F245" s="921">
        <v>19</v>
      </c>
      <c r="G245" s="921">
        <v>65</v>
      </c>
      <c r="H245" s="921">
        <v>172</v>
      </c>
      <c r="I245" s="921">
        <v>2</v>
      </c>
      <c r="J245" s="921">
        <v>999</v>
      </c>
      <c r="K245" s="921">
        <v>9</v>
      </c>
      <c r="L245" s="921">
        <v>99</v>
      </c>
      <c r="M245" s="921">
        <v>9</v>
      </c>
      <c r="N245" s="921">
        <v>3</v>
      </c>
      <c r="O245" s="921">
        <v>99999</v>
      </c>
      <c r="P245" s="1023">
        <f t="shared" si="11"/>
        <v>0</v>
      </c>
      <c r="Q245" s="234">
        <f>CVA!$D$13</f>
        <v>0</v>
      </c>
    </row>
    <row r="246" spans="1:17" ht="15.75">
      <c r="A246" s="921" t="s">
        <v>772</v>
      </c>
      <c r="B246" s="921" t="s">
        <v>1378</v>
      </c>
      <c r="C246" s="921" t="s">
        <v>1662</v>
      </c>
      <c r="D246" s="921">
        <v>5</v>
      </c>
      <c r="E246" s="921">
        <v>2</v>
      </c>
      <c r="F246" s="921">
        <v>19</v>
      </c>
      <c r="G246" s="921">
        <v>65</v>
      </c>
      <c r="H246" s="921">
        <v>172</v>
      </c>
      <c r="I246" s="921">
        <v>3</v>
      </c>
      <c r="J246" s="921">
        <v>13</v>
      </c>
      <c r="K246" s="921">
        <v>9</v>
      </c>
      <c r="L246" s="921">
        <v>99</v>
      </c>
      <c r="M246" s="921">
        <v>9</v>
      </c>
      <c r="N246" s="921">
        <v>3</v>
      </c>
      <c r="O246" s="921">
        <v>99999</v>
      </c>
      <c r="P246" s="1023">
        <f t="shared" si="11"/>
        <v>0</v>
      </c>
      <c r="Q246" s="234">
        <f>CVA!$D$9</f>
        <v>0</v>
      </c>
    </row>
    <row r="247" spans="1:17" ht="15.75">
      <c r="A247" s="921" t="s">
        <v>772</v>
      </c>
      <c r="B247" s="921" t="s">
        <v>1378</v>
      </c>
      <c r="C247" s="921" t="s">
        <v>1663</v>
      </c>
      <c r="D247" s="921">
        <v>5</v>
      </c>
      <c r="E247" s="921">
        <v>2</v>
      </c>
      <c r="F247" s="921">
        <v>19</v>
      </c>
      <c r="G247" s="921">
        <v>65</v>
      </c>
      <c r="H247" s="921">
        <v>172</v>
      </c>
      <c r="I247" s="921">
        <v>3</v>
      </c>
      <c r="J247" s="921">
        <v>15</v>
      </c>
      <c r="K247" s="921">
        <v>9</v>
      </c>
      <c r="L247" s="921">
        <v>99</v>
      </c>
      <c r="M247" s="921">
        <v>9</v>
      </c>
      <c r="N247" s="921">
        <v>3</v>
      </c>
      <c r="O247" s="921">
        <v>99999</v>
      </c>
      <c r="P247" s="1023">
        <f t="shared" si="11"/>
        <v>0</v>
      </c>
      <c r="Q247" s="234">
        <f>CVA!$D$10</f>
        <v>0</v>
      </c>
    </row>
    <row r="248" spans="1:17" ht="15.75">
      <c r="A248" s="921" t="s">
        <v>772</v>
      </c>
      <c r="B248" s="921" t="s">
        <v>1378</v>
      </c>
      <c r="C248" s="921" t="s">
        <v>1664</v>
      </c>
      <c r="D248" s="921">
        <v>5</v>
      </c>
      <c r="E248" s="921">
        <v>2</v>
      </c>
      <c r="F248" s="921">
        <v>19</v>
      </c>
      <c r="G248" s="921">
        <v>65</v>
      </c>
      <c r="H248" s="921">
        <v>172</v>
      </c>
      <c r="I248" s="921">
        <v>3</v>
      </c>
      <c r="J248" s="921">
        <v>16</v>
      </c>
      <c r="K248" s="921">
        <v>9</v>
      </c>
      <c r="L248" s="921">
        <v>99</v>
      </c>
      <c r="M248" s="921">
        <v>9</v>
      </c>
      <c r="N248" s="921">
        <v>3</v>
      </c>
      <c r="O248" s="921">
        <v>99999</v>
      </c>
      <c r="P248" s="1023">
        <f t="shared" si="11"/>
        <v>0</v>
      </c>
      <c r="Q248" s="234">
        <f>CVA!$D$14</f>
        <v>0</v>
      </c>
    </row>
    <row r="249" spans="1:17" ht="15.75">
      <c r="A249" s="921" t="s">
        <v>772</v>
      </c>
      <c r="B249" s="921" t="s">
        <v>1378</v>
      </c>
      <c r="C249" s="921" t="s">
        <v>1665</v>
      </c>
      <c r="D249" s="921">
        <v>5</v>
      </c>
      <c r="E249" s="921">
        <v>2</v>
      </c>
      <c r="F249" s="921">
        <v>19</v>
      </c>
      <c r="G249" s="921">
        <v>65</v>
      </c>
      <c r="H249" s="921">
        <v>172</v>
      </c>
      <c r="I249" s="921">
        <v>3</v>
      </c>
      <c r="J249" s="921">
        <v>17</v>
      </c>
      <c r="K249" s="921">
        <v>9</v>
      </c>
      <c r="L249" s="921">
        <v>99</v>
      </c>
      <c r="M249" s="921">
        <v>9</v>
      </c>
      <c r="N249" s="921">
        <v>3</v>
      </c>
      <c r="O249" s="921">
        <v>99999</v>
      </c>
      <c r="P249" s="1023">
        <f t="shared" si="11"/>
        <v>0</v>
      </c>
      <c r="Q249" s="234">
        <f>CVA!$D$17</f>
        <v>0</v>
      </c>
    </row>
    <row r="250" spans="1:17" ht="15.75">
      <c r="A250" s="921" t="s">
        <v>772</v>
      </c>
      <c r="B250" s="921" t="s">
        <v>1378</v>
      </c>
      <c r="C250" s="921" t="s">
        <v>1666</v>
      </c>
      <c r="D250" s="921">
        <v>5</v>
      </c>
      <c r="E250" s="921">
        <v>2</v>
      </c>
      <c r="F250" s="921">
        <v>19</v>
      </c>
      <c r="G250" s="921">
        <v>65</v>
      </c>
      <c r="H250" s="921">
        <v>172</v>
      </c>
      <c r="I250" s="921">
        <v>3</v>
      </c>
      <c r="J250" s="921">
        <v>18</v>
      </c>
      <c r="K250" s="921">
        <v>9</v>
      </c>
      <c r="L250" s="921">
        <v>99</v>
      </c>
      <c r="M250" s="921">
        <v>9</v>
      </c>
      <c r="N250" s="921">
        <v>3</v>
      </c>
      <c r="O250" s="921">
        <v>99999</v>
      </c>
      <c r="P250" s="1023">
        <f t="shared" si="11"/>
        <v>0</v>
      </c>
      <c r="Q250" s="234">
        <f>CVA!$D$16</f>
        <v>0</v>
      </c>
    </row>
    <row r="251" spans="1:17" ht="15.75">
      <c r="A251" s="921" t="s">
        <v>772</v>
      </c>
      <c r="B251" s="921" t="s">
        <v>1378</v>
      </c>
      <c r="C251" s="921" t="s">
        <v>1399</v>
      </c>
      <c r="D251" s="921">
        <v>5</v>
      </c>
      <c r="E251" s="921">
        <v>2</v>
      </c>
      <c r="F251" s="921">
        <v>19</v>
      </c>
      <c r="G251" s="921">
        <v>65</v>
      </c>
      <c r="H251" s="921">
        <v>172</v>
      </c>
      <c r="I251" s="921">
        <v>2</v>
      </c>
      <c r="J251" s="921">
        <v>25</v>
      </c>
      <c r="K251" s="921">
        <v>9</v>
      </c>
      <c r="L251" s="921">
        <v>99</v>
      </c>
      <c r="M251" s="921">
        <v>9</v>
      </c>
      <c r="N251" s="921">
        <v>3</v>
      </c>
      <c r="O251" s="921">
        <v>99999</v>
      </c>
      <c r="P251" s="1023">
        <f t="shared" si="11"/>
        <v>0</v>
      </c>
      <c r="Q251" s="234">
        <f>CVA!$D$11</f>
        <v>0</v>
      </c>
    </row>
    <row r="252" spans="1:17" ht="15.75">
      <c r="A252" s="921" t="s">
        <v>1667</v>
      </c>
      <c r="B252" s="921" t="s">
        <v>36</v>
      </c>
      <c r="C252" s="921" t="s">
        <v>1668</v>
      </c>
      <c r="D252" s="921">
        <v>4</v>
      </c>
      <c r="E252" s="921">
        <v>2</v>
      </c>
      <c r="F252" s="921">
        <v>19</v>
      </c>
      <c r="G252" s="921">
        <v>64</v>
      </c>
      <c r="H252" s="921">
        <v>95</v>
      </c>
      <c r="I252" s="921">
        <v>3</v>
      </c>
      <c r="J252" s="921">
        <v>13</v>
      </c>
      <c r="K252" s="921">
        <v>9</v>
      </c>
      <c r="L252" s="921">
        <v>99</v>
      </c>
      <c r="M252" s="921">
        <v>9</v>
      </c>
      <c r="N252" s="921">
        <v>3</v>
      </c>
      <c r="O252" s="921">
        <v>99999</v>
      </c>
      <c r="P252" s="1023">
        <f t="shared" si="11"/>
        <v>0</v>
      </c>
      <c r="Q252" s="234">
        <f>CVA!$D$24</f>
        <v>0</v>
      </c>
    </row>
    <row r="253" spans="1:17" ht="15.75">
      <c r="A253" s="921" t="s">
        <v>1667</v>
      </c>
      <c r="B253" s="921" t="s">
        <v>36</v>
      </c>
      <c r="C253" s="921" t="s">
        <v>1669</v>
      </c>
      <c r="D253" s="921">
        <v>4</v>
      </c>
      <c r="E253" s="921">
        <v>2</v>
      </c>
      <c r="F253" s="921">
        <v>19</v>
      </c>
      <c r="G253" s="921">
        <v>64</v>
      </c>
      <c r="H253" s="921">
        <v>95</v>
      </c>
      <c r="I253" s="921">
        <v>3</v>
      </c>
      <c r="J253" s="921">
        <v>15</v>
      </c>
      <c r="K253" s="921">
        <v>9</v>
      </c>
      <c r="L253" s="921">
        <v>99</v>
      </c>
      <c r="M253" s="921">
        <v>9</v>
      </c>
      <c r="N253" s="921">
        <v>3</v>
      </c>
      <c r="O253" s="921">
        <v>99999</v>
      </c>
      <c r="P253" s="1023">
        <f t="shared" si="11"/>
        <v>0</v>
      </c>
      <c r="Q253" s="234">
        <f>CVA!$D$25</f>
        <v>0</v>
      </c>
    </row>
    <row r="254" spans="1:17" ht="15.75">
      <c r="A254" s="921" t="s">
        <v>1667</v>
      </c>
      <c r="B254" s="921" t="s">
        <v>36</v>
      </c>
      <c r="C254" s="921" t="s">
        <v>1670</v>
      </c>
      <c r="D254" s="921">
        <v>4</v>
      </c>
      <c r="E254" s="921">
        <v>2</v>
      </c>
      <c r="F254" s="921">
        <v>19</v>
      </c>
      <c r="G254" s="921">
        <v>64</v>
      </c>
      <c r="H254" s="921">
        <v>95</v>
      </c>
      <c r="I254" s="921">
        <v>2</v>
      </c>
      <c r="J254" s="921">
        <v>25</v>
      </c>
      <c r="K254" s="921">
        <v>9</v>
      </c>
      <c r="L254" s="921">
        <v>99</v>
      </c>
      <c r="M254" s="921">
        <v>9</v>
      </c>
      <c r="N254" s="921">
        <v>3</v>
      </c>
      <c r="O254" s="921">
        <v>99999</v>
      </c>
      <c r="P254" s="1023">
        <f t="shared" si="11"/>
        <v>0</v>
      </c>
      <c r="Q254" s="234">
        <f>CVA!$D$26</f>
        <v>0</v>
      </c>
    </row>
    <row r="255" spans="1:17" ht="15.75">
      <c r="A255" s="921" t="s">
        <v>1667</v>
      </c>
      <c r="B255" s="921" t="s">
        <v>36</v>
      </c>
      <c r="C255" s="921" t="s">
        <v>1671</v>
      </c>
      <c r="D255" s="921">
        <v>4</v>
      </c>
      <c r="E255" s="921">
        <v>2</v>
      </c>
      <c r="F255" s="921">
        <v>19</v>
      </c>
      <c r="G255" s="921">
        <v>64</v>
      </c>
      <c r="H255" s="921">
        <v>95</v>
      </c>
      <c r="I255" s="921">
        <v>1</v>
      </c>
      <c r="J255" s="921">
        <v>1</v>
      </c>
      <c r="K255" s="921">
        <v>9</v>
      </c>
      <c r="L255" s="921">
        <v>99</v>
      </c>
      <c r="M255" s="921">
        <v>9</v>
      </c>
      <c r="N255" s="921">
        <v>3</v>
      </c>
      <c r="O255" s="921">
        <v>99999</v>
      </c>
      <c r="P255" s="1023">
        <f t="shared" si="11"/>
        <v>0</v>
      </c>
      <c r="Q255" s="234">
        <f>CVA!$D$27</f>
        <v>0</v>
      </c>
    </row>
    <row r="256" spans="1:17" ht="15.75">
      <c r="A256" s="921" t="s">
        <v>1667</v>
      </c>
      <c r="B256" s="921" t="s">
        <v>36</v>
      </c>
      <c r="C256" s="921" t="s">
        <v>1672</v>
      </c>
      <c r="D256" s="921">
        <v>4</v>
      </c>
      <c r="E256" s="921">
        <v>2</v>
      </c>
      <c r="F256" s="921">
        <v>19</v>
      </c>
      <c r="G256" s="921">
        <v>64</v>
      </c>
      <c r="H256" s="921">
        <v>95</v>
      </c>
      <c r="I256" s="921">
        <v>2</v>
      </c>
      <c r="J256" s="921">
        <v>999</v>
      </c>
      <c r="K256" s="921">
        <v>9</v>
      </c>
      <c r="L256" s="921">
        <v>99</v>
      </c>
      <c r="M256" s="921">
        <v>9</v>
      </c>
      <c r="N256" s="921">
        <v>3</v>
      </c>
      <c r="O256" s="921">
        <v>99999</v>
      </c>
      <c r="P256" s="1023">
        <f t="shared" si="11"/>
        <v>0</v>
      </c>
      <c r="Q256" s="234">
        <f>CVA!$D$28</f>
        <v>0</v>
      </c>
    </row>
    <row r="257" spans="1:17" ht="15.75">
      <c r="A257" s="921" t="s">
        <v>1667</v>
      </c>
      <c r="B257" s="921" t="s">
        <v>36</v>
      </c>
      <c r="C257" s="921" t="s">
        <v>1673</v>
      </c>
      <c r="D257" s="921">
        <v>4</v>
      </c>
      <c r="E257" s="921">
        <v>2</v>
      </c>
      <c r="F257" s="921">
        <v>19</v>
      </c>
      <c r="G257" s="921">
        <v>64</v>
      </c>
      <c r="H257" s="921">
        <v>95</v>
      </c>
      <c r="I257" s="921">
        <v>3</v>
      </c>
      <c r="J257" s="921">
        <v>16</v>
      </c>
      <c r="K257" s="921">
        <v>9</v>
      </c>
      <c r="L257" s="921">
        <v>99</v>
      </c>
      <c r="M257" s="921">
        <v>9</v>
      </c>
      <c r="N257" s="921">
        <v>3</v>
      </c>
      <c r="O257" s="921">
        <v>99999</v>
      </c>
      <c r="P257" s="1023">
        <f t="shared" si="11"/>
        <v>0</v>
      </c>
      <c r="Q257" s="234">
        <f>CVA!$D$29</f>
        <v>0</v>
      </c>
    </row>
    <row r="258" spans="1:17" ht="15.75">
      <c r="A258" s="921" t="s">
        <v>1667</v>
      </c>
      <c r="B258" s="921" t="s">
        <v>36</v>
      </c>
      <c r="C258" s="921" t="s">
        <v>1674</v>
      </c>
      <c r="D258" s="921">
        <v>4</v>
      </c>
      <c r="E258" s="921">
        <v>2</v>
      </c>
      <c r="F258" s="921">
        <v>19</v>
      </c>
      <c r="G258" s="921">
        <v>64</v>
      </c>
      <c r="H258" s="921">
        <v>95</v>
      </c>
      <c r="I258" s="921">
        <v>1</v>
      </c>
      <c r="J258" s="921">
        <v>21</v>
      </c>
      <c r="K258" s="921">
        <v>9</v>
      </c>
      <c r="L258" s="921">
        <v>99</v>
      </c>
      <c r="M258" s="921">
        <v>9</v>
      </c>
      <c r="N258" s="921">
        <v>3</v>
      </c>
      <c r="O258" s="921">
        <v>99999</v>
      </c>
      <c r="P258" s="1023">
        <f t="shared" si="11"/>
        <v>0</v>
      </c>
      <c r="Q258" s="234">
        <f>CVA!$D$30</f>
        <v>0</v>
      </c>
    </row>
    <row r="259" spans="1:17" ht="15.75">
      <c r="A259" s="921" t="s">
        <v>1667</v>
      </c>
      <c r="B259" s="921" t="s">
        <v>36</v>
      </c>
      <c r="C259" s="921" t="s">
        <v>1675</v>
      </c>
      <c r="D259" s="921">
        <v>4</v>
      </c>
      <c r="E259" s="921">
        <v>2</v>
      </c>
      <c r="F259" s="921">
        <v>19</v>
      </c>
      <c r="G259" s="921">
        <v>64</v>
      </c>
      <c r="H259" s="921">
        <v>95</v>
      </c>
      <c r="I259" s="921">
        <v>3</v>
      </c>
      <c r="J259" s="921">
        <v>18</v>
      </c>
      <c r="K259" s="921">
        <v>9</v>
      </c>
      <c r="L259" s="921">
        <v>99</v>
      </c>
      <c r="M259" s="921">
        <v>9</v>
      </c>
      <c r="N259" s="921">
        <v>3</v>
      </c>
      <c r="O259" s="921">
        <v>99999</v>
      </c>
      <c r="P259" s="1023">
        <f t="shared" si="11"/>
        <v>0</v>
      </c>
      <c r="Q259" s="234">
        <f>CVA!$D$31</f>
        <v>0</v>
      </c>
    </row>
    <row r="260" spans="1:17" ht="15.75">
      <c r="A260" s="921" t="s">
        <v>1667</v>
      </c>
      <c r="B260" s="921" t="s">
        <v>36</v>
      </c>
      <c r="C260" s="921" t="s">
        <v>1676</v>
      </c>
      <c r="D260" s="921">
        <v>4</v>
      </c>
      <c r="E260" s="921">
        <v>2</v>
      </c>
      <c r="F260" s="921">
        <v>19</v>
      </c>
      <c r="G260" s="921">
        <v>64</v>
      </c>
      <c r="H260" s="921">
        <v>95</v>
      </c>
      <c r="I260" s="921">
        <v>3</v>
      </c>
      <c r="J260" s="921">
        <v>17</v>
      </c>
      <c r="K260" s="921">
        <v>9</v>
      </c>
      <c r="L260" s="921">
        <v>99</v>
      </c>
      <c r="M260" s="921">
        <v>9</v>
      </c>
      <c r="N260" s="921">
        <v>3</v>
      </c>
      <c r="O260" s="921">
        <v>99999</v>
      </c>
      <c r="P260" s="1023">
        <f t="shared" si="11"/>
        <v>0</v>
      </c>
      <c r="Q260" s="234">
        <f>CVA!$D$32</f>
        <v>0</v>
      </c>
    </row>
    <row r="261" spans="1:17" ht="15.75">
      <c r="A261" s="921" t="s">
        <v>772</v>
      </c>
      <c r="B261" s="921" t="s">
        <v>120</v>
      </c>
      <c r="C261" s="921" t="str">
        <f>Energia!$B$20</f>
        <v>Angra</v>
      </c>
      <c r="D261" s="921">
        <v>1</v>
      </c>
      <c r="E261" s="921">
        <v>1</v>
      </c>
      <c r="F261" s="921">
        <v>8</v>
      </c>
      <c r="G261" s="921">
        <v>999999</v>
      </c>
      <c r="H261" s="921">
        <v>999</v>
      </c>
      <c r="I261" s="921">
        <v>2</v>
      </c>
      <c r="J261" s="921">
        <v>999</v>
      </c>
      <c r="K261" s="921">
        <v>9</v>
      </c>
      <c r="L261" s="921">
        <v>99</v>
      </c>
      <c r="M261" s="921">
        <v>9</v>
      </c>
      <c r="N261" s="921">
        <v>2</v>
      </c>
      <c r="O261" s="921">
        <v>99999</v>
      </c>
      <c r="P261" s="1023">
        <f t="shared" ca="1" si="11"/>
        <v>0</v>
      </c>
      <c r="Q261" s="234">
        <f ca="1">Energia!$C$20</f>
        <v>0</v>
      </c>
    </row>
    <row r="262" spans="1:17" ht="15.75">
      <c r="A262" s="921" t="s">
        <v>772</v>
      </c>
      <c r="B262" s="921" t="s">
        <v>120</v>
      </c>
      <c r="C262" s="921" t="str">
        <f>Energia!B20</f>
        <v>Angra</v>
      </c>
      <c r="D262" s="921">
        <v>1</v>
      </c>
      <c r="E262" s="921">
        <v>1</v>
      </c>
      <c r="F262" s="921">
        <v>8</v>
      </c>
      <c r="G262" s="921">
        <v>999999</v>
      </c>
      <c r="H262" s="921">
        <v>999</v>
      </c>
      <c r="I262" s="921">
        <v>2</v>
      </c>
      <c r="J262" s="921">
        <v>999</v>
      </c>
      <c r="K262" s="921">
        <v>9</v>
      </c>
      <c r="L262" s="921">
        <v>99</v>
      </c>
      <c r="M262" s="921">
        <v>9</v>
      </c>
      <c r="N262" s="921">
        <v>3</v>
      </c>
      <c r="O262" s="921">
        <v>99999</v>
      </c>
      <c r="P262" s="1023">
        <f t="shared" ca="1" si="11"/>
        <v>0</v>
      </c>
      <c r="Q262" s="234">
        <f ca="1">Energia!$F$20</f>
        <v>0</v>
      </c>
    </row>
    <row r="263" spans="1:17" ht="15.75">
      <c r="A263" s="921" t="s">
        <v>772</v>
      </c>
      <c r="B263" s="921" t="s">
        <v>120</v>
      </c>
      <c r="C263" s="921" t="str">
        <f>Energia!$B$21</f>
        <v>CCGF</v>
      </c>
      <c r="D263" s="921">
        <v>1</v>
      </c>
      <c r="E263" s="921">
        <v>1</v>
      </c>
      <c r="F263" s="921">
        <v>17</v>
      </c>
      <c r="G263" s="921">
        <v>999999</v>
      </c>
      <c r="H263" s="921">
        <v>999</v>
      </c>
      <c r="I263" s="921">
        <v>2</v>
      </c>
      <c r="J263" s="921">
        <v>999</v>
      </c>
      <c r="K263" s="921">
        <v>9</v>
      </c>
      <c r="L263" s="921">
        <v>99</v>
      </c>
      <c r="M263" s="921">
        <v>9</v>
      </c>
      <c r="N263" s="921">
        <v>2</v>
      </c>
      <c r="O263" s="921">
        <v>0</v>
      </c>
      <c r="P263" s="1023">
        <f t="shared" ca="1" si="11"/>
        <v>0</v>
      </c>
      <c r="Q263" s="234">
        <f ca="1">Energia!$C$21</f>
        <v>0</v>
      </c>
    </row>
    <row r="264" spans="1:17" ht="15.75">
      <c r="A264" s="921" t="s">
        <v>772</v>
      </c>
      <c r="B264" s="921" t="s">
        <v>120</v>
      </c>
      <c r="C264" s="921" t="str">
        <f>Energia!$B$21</f>
        <v>CCGF</v>
      </c>
      <c r="D264" s="921">
        <v>1</v>
      </c>
      <c r="E264" s="921">
        <v>1</v>
      </c>
      <c r="F264" s="921">
        <v>17</v>
      </c>
      <c r="G264" s="921">
        <v>999999</v>
      </c>
      <c r="H264" s="921">
        <v>999</v>
      </c>
      <c r="I264" s="921">
        <v>2</v>
      </c>
      <c r="J264" s="921">
        <v>999</v>
      </c>
      <c r="K264" s="921">
        <v>9</v>
      </c>
      <c r="L264" s="921">
        <v>99</v>
      </c>
      <c r="M264" s="921">
        <v>9</v>
      </c>
      <c r="N264" s="921">
        <v>3</v>
      </c>
      <c r="O264" s="921">
        <v>0</v>
      </c>
      <c r="P264" s="1023">
        <f t="shared" ca="1" si="11"/>
        <v>0</v>
      </c>
      <c r="Q264" s="234">
        <f ca="1">Energia!$F$21</f>
        <v>0</v>
      </c>
    </row>
    <row r="265" spans="1:17" s="922" customFormat="1" ht="14.1" customHeight="1">
      <c r="A265" s="921" t="s">
        <v>1625</v>
      </c>
      <c r="B265" s="921" t="s">
        <v>1625</v>
      </c>
      <c r="C265" s="921" t="s">
        <v>1625</v>
      </c>
      <c r="D265" s="921">
        <v>99</v>
      </c>
      <c r="E265" s="921">
        <v>99</v>
      </c>
      <c r="F265" s="921">
        <v>999</v>
      </c>
      <c r="G265" s="921">
        <v>999999</v>
      </c>
      <c r="H265" s="921">
        <v>999</v>
      </c>
      <c r="I265" s="921">
        <v>99</v>
      </c>
      <c r="J265" s="921">
        <v>999</v>
      </c>
      <c r="K265" s="921">
        <v>9</v>
      </c>
      <c r="L265" s="921">
        <v>99</v>
      </c>
      <c r="M265" s="921">
        <v>9</v>
      </c>
      <c r="N265" s="921">
        <v>99</v>
      </c>
      <c r="O265">
        <v>99999</v>
      </c>
      <c r="P265" s="1010">
        <f t="shared" si="11"/>
        <v>0</v>
      </c>
      <c r="Q265" s="1010"/>
    </row>
    <row r="266" spans="1:17" s="922" customFormat="1" ht="14.1" customHeight="1">
      <c r="A266" s="921" t="s">
        <v>1625</v>
      </c>
      <c r="B266" s="921" t="s">
        <v>1625</v>
      </c>
      <c r="C266" s="921" t="s">
        <v>1625</v>
      </c>
      <c r="D266" s="921">
        <v>99</v>
      </c>
      <c r="E266" s="921">
        <v>99</v>
      </c>
      <c r="F266" s="921">
        <v>999</v>
      </c>
      <c r="G266" s="921">
        <v>999999</v>
      </c>
      <c r="H266" s="921">
        <v>999</v>
      </c>
      <c r="I266" s="921">
        <v>99</v>
      </c>
      <c r="J266" s="921">
        <v>999</v>
      </c>
      <c r="K266" s="921">
        <v>9</v>
      </c>
      <c r="L266" s="921">
        <v>99</v>
      </c>
      <c r="M266" s="921">
        <v>9</v>
      </c>
      <c r="N266" s="921">
        <v>99</v>
      </c>
      <c r="O266">
        <v>99999</v>
      </c>
      <c r="P266" s="1010">
        <f t="shared" si="11"/>
        <v>0</v>
      </c>
      <c r="Q266" s="1010"/>
    </row>
    <row r="267" spans="1:17" ht="15.75">
      <c r="A267" s="921"/>
      <c r="B267" s="921"/>
      <c r="C267" s="921"/>
      <c r="D267" s="921"/>
      <c r="E267" s="921"/>
      <c r="F267" s="921"/>
      <c r="G267" s="921"/>
      <c r="H267" s="921"/>
      <c r="I267" s="921"/>
      <c r="J267" s="921"/>
      <c r="K267" s="921"/>
      <c r="L267" s="921"/>
      <c r="M267" s="921"/>
      <c r="N267" s="921"/>
      <c r="O267"/>
      <c r="P267" s="1010"/>
      <c r="Q267" s="1010"/>
    </row>
    <row r="268" spans="1:17" ht="15.75">
      <c r="A268" s="921"/>
      <c r="B268" s="921"/>
      <c r="C268" s="921"/>
      <c r="D268" s="921"/>
      <c r="E268" s="921"/>
      <c r="F268" s="921"/>
      <c r="G268" s="921"/>
      <c r="H268" s="921"/>
      <c r="I268" s="921"/>
      <c r="J268" s="921"/>
      <c r="K268" s="921"/>
      <c r="L268" s="921"/>
      <c r="M268" s="921"/>
      <c r="N268" s="921"/>
      <c r="O268"/>
      <c r="P268" s="1010"/>
      <c r="Q268" s="1010"/>
    </row>
    <row r="269" spans="1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4">
        <f t="shared" ref="P269:P324" si="13">IF(ISNUMBER(Q269),Q269,0)</f>
        <v>0</v>
      </c>
      <c r="Q269" s="234"/>
    </row>
    <row r="270" spans="1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4">
        <f t="shared" si="13"/>
        <v>0</v>
      </c>
      <c r="Q270" s="234"/>
    </row>
    <row r="271" spans="1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4">
        <f t="shared" si="13"/>
        <v>0</v>
      </c>
      <c r="Q271" s="234"/>
    </row>
    <row r="272" spans="1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4">
        <f t="shared" si="13"/>
        <v>0</v>
      </c>
      <c r="Q272" s="234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4">
        <f t="shared" si="13"/>
        <v>0</v>
      </c>
      <c r="Q273" s="234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4">
        <f t="shared" si="13"/>
        <v>0</v>
      </c>
      <c r="Q274" s="234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4">
        <f t="shared" si="13"/>
        <v>0</v>
      </c>
      <c r="Q275" s="234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4">
        <f t="shared" si="13"/>
        <v>0</v>
      </c>
      <c r="Q276" s="234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4">
        <f t="shared" si="13"/>
        <v>0</v>
      </c>
      <c r="Q277" s="234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4">
        <f t="shared" si="13"/>
        <v>0</v>
      </c>
      <c r="Q278" s="234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si="13"/>
        <v>0</v>
      </c>
      <c r="Q279" s="234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3"/>
        <v>0</v>
      </c>
      <c r="Q280" s="234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3"/>
        <v>0</v>
      </c>
      <c r="Q281" s="234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3"/>
        <v>0</v>
      </c>
      <c r="Q282" s="234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3"/>
        <v>0</v>
      </c>
      <c r="Q283" s="234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3"/>
        <v>0</v>
      </c>
      <c r="Q284" s="234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3"/>
        <v>0</v>
      </c>
      <c r="Q285" s="234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3"/>
        <v>0</v>
      </c>
      <c r="Q286" s="234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3"/>
        <v>0</v>
      </c>
      <c r="Q287" s="234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3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3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3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3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3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3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3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3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3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3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3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3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3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3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3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3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3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3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3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3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3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3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3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3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3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3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3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3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3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3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3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3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3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3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3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3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3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ref="P325:P388" si="14">IF(ISNUMBER(Q325),Q325,0)</f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4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4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4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4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4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4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4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4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4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4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4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4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4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4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4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4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4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4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4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4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4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4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4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4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4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4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4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4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4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4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4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4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4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4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4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4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4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4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4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4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4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4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4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4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4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4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4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4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4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4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4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4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4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4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4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4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4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4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4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4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4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4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4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ref="P389:P452" si="15">IF(ISNUMBER(Q389),Q389,0)</f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5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5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5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5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5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5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5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5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5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5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5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5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5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5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5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5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5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5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5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5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5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5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5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5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5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5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5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5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5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5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5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5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5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5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5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5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5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5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5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5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5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5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5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5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5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5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5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5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5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5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5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5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5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5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5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5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5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5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5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5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5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5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5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ref="P453:P516" si="16">IF(ISNUMBER(Q453),Q453,0)</f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6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6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6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6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6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6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6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6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6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6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6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6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6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6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6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6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6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6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6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6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6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6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6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6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6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6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6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6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6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6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6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6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6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6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6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6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6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6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6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6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6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6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6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6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6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6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6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6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6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6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6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6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6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6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6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6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6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6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6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6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6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6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6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ref="P517:P580" si="17">IF(ISNUMBER(Q517),Q517,0)</f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7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7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7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7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7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7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7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7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17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17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17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17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17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17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17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17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17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17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17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17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17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17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17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17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17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17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17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17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17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17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17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17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17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17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17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17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17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17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17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17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17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17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17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17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17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17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17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17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17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17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17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17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17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17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17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17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17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17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17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17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17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17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17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ref="P581:P644" si="18">IF(ISNUMBER(Q581),Q581,0)</f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18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18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18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18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18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18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18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18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18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18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18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18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18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18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18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18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18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18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18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18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18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18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18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18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18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18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18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18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18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18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18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18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18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18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18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18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18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18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18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18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18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18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18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18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18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18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18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18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18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18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18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18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18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18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18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18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18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18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18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18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18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18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18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ref="P645:P708" si="19">IF(ISNUMBER(Q645),Q645,0)</f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19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19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19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19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19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19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19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19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19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19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19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19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19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19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19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19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19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19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19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19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19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19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19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19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19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19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19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19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19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19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19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19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19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19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19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19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19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19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19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19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19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19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19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19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19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19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19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19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19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19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19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19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19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19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19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19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19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19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19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19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19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19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19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ref="P709:P772" si="20">IF(ISNUMBER(Q709),Q709,0)</f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0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0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0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0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0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0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0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0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0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0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0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0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0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0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0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0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0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0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0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0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0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0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0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0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0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0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0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0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0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0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0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0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0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0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0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0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0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0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0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0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0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0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0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0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0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0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0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0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0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0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0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0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0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0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0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0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0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0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0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0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0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0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0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ref="P773:P836" si="21">IF(ISNUMBER(Q773),Q773,0)</f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1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1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1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1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1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1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1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1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1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1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1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1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1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1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1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1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1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1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1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1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1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1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1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1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1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1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1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1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1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1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1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1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1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1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1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1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1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1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1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1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1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1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1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1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1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1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1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1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1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1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1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1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1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1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1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1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1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1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1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1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1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1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1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ref="P837:P900" si="22">IF(ISNUMBER(Q837),Q837,0)</f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2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2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2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2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2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2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2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2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2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2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2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2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2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2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2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2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2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2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2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2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2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2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2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2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2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2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2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2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2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2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2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2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2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2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2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2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2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2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2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2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2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2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2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2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2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2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2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2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2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2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2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2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2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2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2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2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2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2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2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2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2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2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2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ref="P901:P964" si="23">IF(ISNUMBER(Q901),Q901,0)</f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3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3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3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3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3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3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3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3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3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3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3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3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3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3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3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3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3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3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3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3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3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3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3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3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3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3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3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3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3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3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3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3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3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3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3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3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3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3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3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3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3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3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3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3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3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3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3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3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3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3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3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3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3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3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3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3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3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3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3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3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3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3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3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ref="P965:P1028" si="24">IF(ISNUMBER(Q965),Q965,0)</f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4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4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4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4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4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4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4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4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4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4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4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4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4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4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4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4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4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4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4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4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4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4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4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4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4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4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4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4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4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4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4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4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4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4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4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4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4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4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4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4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4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4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4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4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4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4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4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4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4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4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4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4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4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4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4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4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4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4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4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4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4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4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4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ref="P1029:P1092" si="25">IF(ISNUMBER(Q1029),Q1029,0)</f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5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5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5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5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5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5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5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5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5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5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5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5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5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5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5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5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5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5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5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5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5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5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5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5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5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5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5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5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5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5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5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5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5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5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5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5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5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5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5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5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5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5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5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5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5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5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5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5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5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5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5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5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5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5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5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5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5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5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5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5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5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5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5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ref="P1093:P1156" si="26">IF(ISNUMBER(Q1093),Q1093,0)</f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6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6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6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6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6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6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6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6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6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6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6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6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6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6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6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6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6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6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6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6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6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6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6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6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6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6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6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6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6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6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6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6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6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6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6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6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6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6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6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6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6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6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6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6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6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6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6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6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6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6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6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6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6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6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6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6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6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6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6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6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6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6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6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ref="P1157:P1220" si="27">IF(ISNUMBER(Q1157),Q1157,0)</f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7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7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7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7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7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7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7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7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27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27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27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27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27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27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27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27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27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27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27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27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27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27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27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27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27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27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27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27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27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27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27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27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27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27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27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27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27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27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27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27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27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27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27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27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27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27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27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27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27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27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27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27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27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27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27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27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27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27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27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27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27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27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27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ref="P1221:P1284" si="28">IF(ISNUMBER(Q1221),Q1221,0)</f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28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28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28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28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28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28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28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28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28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28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28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28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28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28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28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28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28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28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28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28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28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28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28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28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28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28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28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28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28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28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28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28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28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28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28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28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28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28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28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28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28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28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28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28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28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28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28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28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28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28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28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28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28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28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28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28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28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28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28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28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28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28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28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ref="P1285:P1348" si="29">IF(ISNUMBER(Q1285),Q1285,0)</f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29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29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29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29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29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29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29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29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29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29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29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29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29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29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29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29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29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29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29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29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29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29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29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29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29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29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29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29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29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29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29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29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29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29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29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29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29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29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29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29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29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29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29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29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29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29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29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29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29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29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29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29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29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29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29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29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29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29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29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29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29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29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29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ref="P1349:P1412" si="30">IF(ISNUMBER(Q1349),Q1349,0)</f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0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0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0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0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0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0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0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0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0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0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0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0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0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0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0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0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0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0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0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0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0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0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0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0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0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0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0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0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0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0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0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0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0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0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0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0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0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0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0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0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0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0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0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0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0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0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0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0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0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0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0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0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0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0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0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0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0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0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0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0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0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0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0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ref="P1413:P1476" si="31">IF(ISNUMBER(Q1413),Q1413,0)</f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1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1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1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1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1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1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1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1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1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1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1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1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1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1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1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1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1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1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1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1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1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1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1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1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1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1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1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1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1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1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1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1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1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1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1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1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1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1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1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1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1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1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1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1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1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1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1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1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1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1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1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1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1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1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1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1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1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1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1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1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1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1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1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ref="P1477:P1540" si="32">IF(ISNUMBER(Q1477),Q1477,0)</f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2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2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2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2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2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2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2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2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2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2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2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2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2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2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2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2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2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2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2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2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2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2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2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2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2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2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2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2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2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2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2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2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2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2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2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2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2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2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2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2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2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2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2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2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2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2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2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2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2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2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2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2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2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2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2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2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2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2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2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2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2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2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2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ref="P1541:P1604" si="33">IF(ISNUMBER(Q1541),Q1541,0)</f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3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3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3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3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3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3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3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3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3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3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3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3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3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3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3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3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3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3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3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3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3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3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3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3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3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3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3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3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3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3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3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3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3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3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3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3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3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3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3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3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3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3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3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3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3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3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3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3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3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3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3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3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3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3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3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3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3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3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3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3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3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3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3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ref="P1605:P1668" si="34">IF(ISNUMBER(Q1605),Q1605,0)</f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4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4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4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4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4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4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4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4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4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4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4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4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4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4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4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4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4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4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4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4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4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4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4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4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4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4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4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4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4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4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4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4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4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4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4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4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4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4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4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4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4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4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4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4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4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4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4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4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4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4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4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4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4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4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4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4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4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4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4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4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4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4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4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ref="P1669:P1723" si="35">IF(ISNUMBER(Q1669),Q1669,0)</f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5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5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5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5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5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5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5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5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5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5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5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5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5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5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5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5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5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5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5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5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5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5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5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5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5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5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5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5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5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5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5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5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5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5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5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5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5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5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5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5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5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5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5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5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5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5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5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5"/>
        <v>0</v>
      </c>
      <c r="Q1717" s="248"/>
    </row>
    <row r="1718" spans="1:17">
      <c r="A1718" s="9" t="s">
        <v>772</v>
      </c>
      <c r="B1718" t="s">
        <v>794</v>
      </c>
      <c r="C1718" s="9" t="s">
        <v>1677</v>
      </c>
      <c r="D1718">
        <v>1</v>
      </c>
      <c r="E1718">
        <v>1</v>
      </c>
      <c r="F1718">
        <v>35</v>
      </c>
      <c r="G1718">
        <v>999</v>
      </c>
      <c r="H1718">
        <v>999</v>
      </c>
      <c r="I1718">
        <v>1</v>
      </c>
      <c r="J1718">
        <v>1</v>
      </c>
      <c r="K1718">
        <v>9</v>
      </c>
      <c r="L1718">
        <v>99</v>
      </c>
      <c r="M1718">
        <v>1</v>
      </c>
      <c r="N1718">
        <v>3</v>
      </c>
      <c r="O1718" s="14">
        <v>99999</v>
      </c>
      <c r="P1718" s="234">
        <f t="shared" si="35"/>
        <v>0</v>
      </c>
      <c r="Q1718" s="234">
        <f>'Rede Básica + Ajuste'!D9</f>
        <v>0</v>
      </c>
    </row>
    <row r="1719" spans="1:17">
      <c r="A1719" s="9" t="s">
        <v>772</v>
      </c>
      <c r="B1719" t="s">
        <v>794</v>
      </c>
      <c r="C1719" s="9" t="s">
        <v>1678</v>
      </c>
      <c r="D1719">
        <v>1</v>
      </c>
      <c r="E1719">
        <v>1</v>
      </c>
      <c r="F1719">
        <v>35</v>
      </c>
      <c r="G1719">
        <v>999</v>
      </c>
      <c r="H1719">
        <v>999</v>
      </c>
      <c r="I1719">
        <v>1</v>
      </c>
      <c r="J1719">
        <v>1</v>
      </c>
      <c r="K1719">
        <v>9</v>
      </c>
      <c r="L1719">
        <v>99</v>
      </c>
      <c r="M1719">
        <v>3</v>
      </c>
      <c r="N1719">
        <v>3</v>
      </c>
      <c r="O1719" s="14">
        <v>99999</v>
      </c>
      <c r="P1719" s="234">
        <f t="shared" si="35"/>
        <v>0</v>
      </c>
      <c r="Q1719" s="234">
        <f>'Rede Básica + Ajuste'!D10</f>
        <v>0</v>
      </c>
    </row>
    <row r="1720" spans="1:17">
      <c r="A1720" s="9" t="s">
        <v>772</v>
      </c>
      <c r="B1720" t="s">
        <v>794</v>
      </c>
      <c r="C1720" s="9" t="s">
        <v>1679</v>
      </c>
      <c r="D1720">
        <v>1</v>
      </c>
      <c r="E1720">
        <v>1</v>
      </c>
      <c r="F1720">
        <v>35</v>
      </c>
      <c r="G1720">
        <v>999</v>
      </c>
      <c r="H1720">
        <v>999</v>
      </c>
      <c r="I1720">
        <v>1</v>
      </c>
      <c r="J1720">
        <v>2</v>
      </c>
      <c r="K1720">
        <v>9</v>
      </c>
      <c r="L1720">
        <v>99</v>
      </c>
      <c r="M1720">
        <v>1</v>
      </c>
      <c r="N1720">
        <v>3</v>
      </c>
      <c r="O1720" s="14">
        <v>99999</v>
      </c>
      <c r="P1720" s="234">
        <f t="shared" si="35"/>
        <v>0</v>
      </c>
      <c r="Q1720" s="234">
        <f>'Rede Básica + Ajuste'!E9</f>
        <v>0</v>
      </c>
    </row>
    <row r="1721" spans="1:17">
      <c r="A1721" s="9" t="s">
        <v>772</v>
      </c>
      <c r="B1721" t="s">
        <v>794</v>
      </c>
      <c r="C1721" s="9" t="s">
        <v>1680</v>
      </c>
      <c r="D1721">
        <v>1</v>
      </c>
      <c r="E1721">
        <v>1</v>
      </c>
      <c r="F1721">
        <v>35</v>
      </c>
      <c r="G1721">
        <v>999</v>
      </c>
      <c r="H1721">
        <v>999</v>
      </c>
      <c r="I1721">
        <v>1</v>
      </c>
      <c r="J1721">
        <v>2</v>
      </c>
      <c r="K1721">
        <v>9</v>
      </c>
      <c r="L1721">
        <v>99</v>
      </c>
      <c r="M1721">
        <v>3</v>
      </c>
      <c r="N1721">
        <v>3</v>
      </c>
      <c r="O1721" s="14">
        <v>99999</v>
      </c>
      <c r="P1721" s="234">
        <f t="shared" si="35"/>
        <v>0</v>
      </c>
      <c r="Q1721" s="234">
        <f>'Rede Básica + Ajuste'!E10</f>
        <v>0</v>
      </c>
    </row>
    <row r="1722" spans="1:17">
      <c r="A1722" s="9" t="s">
        <v>772</v>
      </c>
      <c r="B1722" t="s">
        <v>794</v>
      </c>
      <c r="C1722" s="9" t="s">
        <v>1681</v>
      </c>
      <c r="D1722">
        <v>1</v>
      </c>
      <c r="E1722">
        <v>1</v>
      </c>
      <c r="F1722">
        <v>35</v>
      </c>
      <c r="G1722">
        <v>999</v>
      </c>
      <c r="H1722">
        <v>999</v>
      </c>
      <c r="I1722">
        <v>1</v>
      </c>
      <c r="J1722">
        <v>1</v>
      </c>
      <c r="K1722">
        <v>9</v>
      </c>
      <c r="L1722">
        <v>99</v>
      </c>
      <c r="M1722">
        <v>1</v>
      </c>
      <c r="N1722">
        <v>1</v>
      </c>
      <c r="O1722" s="14">
        <v>99999</v>
      </c>
      <c r="P1722" s="234">
        <f t="shared" si="35"/>
        <v>0</v>
      </c>
      <c r="Q1722" s="234">
        <f>'Rede Básica + Ajuste'!C9</f>
        <v>0</v>
      </c>
    </row>
    <row r="1723" spans="1:17">
      <c r="A1723" s="9" t="s">
        <v>772</v>
      </c>
      <c r="B1723" t="s">
        <v>794</v>
      </c>
      <c r="C1723" s="9" t="s">
        <v>1682</v>
      </c>
      <c r="D1723">
        <v>1</v>
      </c>
      <c r="E1723">
        <v>1</v>
      </c>
      <c r="F1723">
        <v>35</v>
      </c>
      <c r="G1723">
        <v>999</v>
      </c>
      <c r="H1723">
        <v>999</v>
      </c>
      <c r="I1723">
        <v>1</v>
      </c>
      <c r="J1723">
        <v>1</v>
      </c>
      <c r="K1723">
        <v>9</v>
      </c>
      <c r="L1723">
        <v>99</v>
      </c>
      <c r="M1723">
        <v>3</v>
      </c>
      <c r="N1723">
        <v>1</v>
      </c>
      <c r="O1723" s="14">
        <v>99999</v>
      </c>
      <c r="P1723" s="234">
        <f t="shared" si="35"/>
        <v>0</v>
      </c>
      <c r="Q1723" s="234">
        <f>'Rede Básica + Ajuste'!C10</f>
        <v>0</v>
      </c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1:17" ht="15.75"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1:17" ht="15.75"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workbookViewId="0"/>
  </sheetViews>
  <sheetFormatPr defaultColWidth="9.140625" defaultRowHeight="15"/>
  <cols>
    <col min="1" max="1" width="12.7109375" style="507" bestFit="1" customWidth="1"/>
    <col min="2" max="2" width="12.5703125" style="507" bestFit="1" customWidth="1"/>
    <col min="3" max="3" width="10.140625" style="507" customWidth="1"/>
    <col min="4" max="4" width="50.42578125" style="507" bestFit="1" customWidth="1"/>
    <col min="5" max="5" width="41.140625" style="507" bestFit="1" customWidth="1"/>
    <col min="6" max="6" width="43.28515625" style="507" bestFit="1" customWidth="1"/>
    <col min="7" max="7" width="34.7109375" style="507" bestFit="1" customWidth="1"/>
    <col min="8" max="8" width="42.7109375" style="507" bestFit="1" customWidth="1"/>
    <col min="9" max="9" width="33.42578125" style="507" bestFit="1" customWidth="1"/>
    <col min="10" max="10" width="25.42578125" style="507" bestFit="1" customWidth="1"/>
    <col min="11" max="11" width="30.85546875" style="507" bestFit="1" customWidth="1"/>
    <col min="12" max="14" width="13" style="507" customWidth="1"/>
    <col min="15" max="15" width="12.5703125" style="507" bestFit="1" customWidth="1"/>
    <col min="16" max="16" width="12.5703125" style="507" customWidth="1"/>
    <col min="17" max="19" width="13" style="507" customWidth="1"/>
    <col min="20" max="20" width="41.140625" style="507" customWidth="1"/>
    <col min="21" max="22" width="13" style="507" customWidth="1"/>
    <col min="23" max="33" width="13" style="507" bestFit="1" customWidth="1"/>
    <col min="34" max="36" width="12.5703125" style="507" bestFit="1" customWidth="1"/>
    <col min="37" max="37" width="49.42578125" style="507" bestFit="1" customWidth="1"/>
    <col min="38" max="38" width="17.5703125" style="507" bestFit="1" customWidth="1"/>
    <col min="39" max="39" width="18" style="507" bestFit="1" customWidth="1"/>
    <col min="40" max="40" width="17.5703125" style="507" bestFit="1" customWidth="1"/>
    <col min="41" max="41" width="18" style="507" bestFit="1" customWidth="1"/>
    <col min="42" max="42" width="17" style="507" bestFit="1" customWidth="1"/>
    <col min="43" max="43" width="17.5703125" style="507" bestFit="1" customWidth="1"/>
    <col min="44" max="44" width="18" style="507" bestFit="1" customWidth="1"/>
    <col min="45" max="47" width="17.5703125" style="507" bestFit="1" customWidth="1"/>
    <col min="48" max="48" width="17" style="507" bestFit="1" customWidth="1"/>
    <col min="49" max="51" width="17.5703125" style="507" bestFit="1" customWidth="1"/>
    <col min="52" max="52" width="17" style="507" bestFit="1" customWidth="1"/>
    <col min="53" max="53" width="17.5703125" style="507" bestFit="1" customWidth="1"/>
    <col min="54" max="54" width="40.85546875" style="507" bestFit="1" customWidth="1"/>
    <col min="55" max="70" width="10.140625" style="507" bestFit="1" customWidth="1"/>
    <col min="71" max="71" width="42.7109375" style="507" bestFit="1" customWidth="1"/>
    <col min="72" max="72" width="16.5703125" style="507" bestFit="1" customWidth="1"/>
    <col min="73" max="75" width="17.5703125" style="507" bestFit="1" customWidth="1"/>
    <col min="76" max="76" width="17" style="507" bestFit="1" customWidth="1"/>
    <col min="77" max="77" width="17.5703125" style="507" bestFit="1" customWidth="1"/>
    <col min="78" max="79" width="17" style="507" bestFit="1" customWidth="1"/>
    <col min="80" max="80" width="17.5703125" style="507" bestFit="1" customWidth="1"/>
    <col min="81" max="82" width="17" style="507" bestFit="1" customWidth="1"/>
    <col min="83" max="84" width="17.5703125" style="507" bestFit="1" customWidth="1"/>
    <col min="85" max="86" width="18" style="507" bestFit="1" customWidth="1"/>
    <col min="87" max="87" width="17" style="507" bestFit="1" customWidth="1"/>
    <col min="88" max="88" width="33.42578125" style="507" bestFit="1" customWidth="1"/>
    <col min="89" max="104" width="10.140625" style="507" bestFit="1" customWidth="1"/>
    <col min="105" max="105" width="25.42578125" style="507" bestFit="1" customWidth="1"/>
    <col min="106" max="119" width="10.140625" style="507" bestFit="1" customWidth="1"/>
    <col min="120" max="120" width="11.140625" style="507" bestFit="1" customWidth="1"/>
    <col min="121" max="121" width="10.140625" style="507" bestFit="1" customWidth="1"/>
    <col min="122" max="122" width="30.85546875" style="507" bestFit="1" customWidth="1"/>
    <col min="123" max="123" width="13.42578125" style="507" bestFit="1" customWidth="1"/>
    <col min="124" max="125" width="14" style="507" bestFit="1" customWidth="1"/>
    <col min="126" max="126" width="13.42578125" style="507" bestFit="1" customWidth="1"/>
    <col min="127" max="127" width="14.42578125" style="507" bestFit="1" customWidth="1"/>
    <col min="128" max="130" width="14" style="507" bestFit="1" customWidth="1"/>
    <col min="131" max="131" width="14.42578125" style="507" bestFit="1" customWidth="1"/>
    <col min="132" max="132" width="14" style="507" bestFit="1" customWidth="1"/>
    <col min="133" max="133" width="14.42578125" style="507" bestFit="1" customWidth="1"/>
    <col min="134" max="134" width="14" style="507" bestFit="1" customWidth="1"/>
    <col min="135" max="135" width="13.42578125" style="507" bestFit="1" customWidth="1"/>
    <col min="136" max="138" width="14.42578125" style="507" bestFit="1" customWidth="1"/>
    <col min="139" max="16384" width="9.140625" style="507"/>
  </cols>
  <sheetData>
    <row r="1" spans="1:138">
      <c r="A1" s="1573" t="s">
        <v>1683</v>
      </c>
      <c r="B1" s="507">
        <f>YEAR(SAS_RA0_DataInicio)*100+MONTH(SAS_RA0_DataInicio)</f>
        <v>202105</v>
      </c>
      <c r="D1" s="1573" t="s">
        <v>1684</v>
      </c>
      <c r="E1" s="1573" t="s">
        <v>1685</v>
      </c>
      <c r="F1" s="1573" t="s">
        <v>1686</v>
      </c>
    </row>
    <row r="2" spans="1:138" ht="15.75">
      <c r="A2" s="1573" t="s">
        <v>1687</v>
      </c>
      <c r="B2" s="507">
        <f>YEAR(SAS_RA0_DataFim)*100+MONTH(SAS_RA0_DataFim)</f>
        <v>202204</v>
      </c>
      <c r="D2" s="1574" t="str">
        <f>UPPER(VLOOKUP(LnkTXTSigla,Informacoes[],9,FALSE))</f>
        <v>ENERGISA SE</v>
      </c>
      <c r="E2" s="507">
        <f>IF(_xlfn.MAXIFS(C:C,A:A,D2)&gt;B2,B2,_xlfn.MAXIFS(C:C,A:A,D2))</f>
        <v>0</v>
      </c>
      <c r="F2" s="509">
        <f>YEAR(SAS_RA0_DataFim)*100+MONTH(SAS_RA0_DataFim)-E2+1</f>
        <v>202205</v>
      </c>
    </row>
    <row r="3" spans="1:138" ht="15.75">
      <c r="A3" s="1575" t="s">
        <v>229</v>
      </c>
      <c r="B3" s="509">
        <f>YEAR(SAS_RA0_DataFim)*100+MONTH(SAS_RA0_DataFim)-MAX(C:C)+1</f>
        <v>202205</v>
      </c>
      <c r="D3" s="1574" t="str">
        <f>UPPER(VLOOKUP(LnkTXTSigla,Informacoes[],11,FALSE))</f>
        <v/>
      </c>
      <c r="E3" s="507">
        <f>IF(_xlfn.MAXIFS(C:C,A:A,D3)&gt;B2,B2,_xlfn.MAXIFS(C:C,A:A,D3))</f>
        <v>0</v>
      </c>
      <c r="F3" s="509">
        <f>YEAR(SAS_RA0_DataFim)*100+MONTH(SAS_RA0_DataFim)-E3+1</f>
        <v>202205</v>
      </c>
    </row>
    <row r="4" spans="1:138" ht="15.75">
      <c r="A4" s="523" t="s">
        <v>1688</v>
      </c>
      <c r="B4" s="524" t="s">
        <v>1689</v>
      </c>
    </row>
    <row r="6" spans="1:138" ht="15.75">
      <c r="A6" s="802"/>
      <c r="B6" s="803"/>
      <c r="C6" s="803"/>
      <c r="D6" s="52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8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8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/>
  </sheetViews>
  <sheetFormatPr defaultColWidth="9.140625" defaultRowHeight="11.25"/>
  <cols>
    <col min="1" max="1" width="24" style="483" bestFit="1" customWidth="1"/>
    <col min="2" max="4" width="9.140625" style="483"/>
    <col min="5" max="5" width="35.7109375" style="483" customWidth="1"/>
    <col min="6" max="6" width="12.5703125" style="483" bestFit="1" customWidth="1"/>
    <col min="7" max="7" width="12.7109375" style="483" customWidth="1"/>
    <col min="8" max="8" width="10.5703125" style="483" bestFit="1" customWidth="1"/>
    <col min="9" max="9" width="10.85546875" style="483" bestFit="1" customWidth="1"/>
    <col min="10" max="10" width="10.140625" style="483" bestFit="1" customWidth="1"/>
    <col min="11" max="11" width="5" style="483" bestFit="1" customWidth="1"/>
    <col min="12" max="12" width="8.85546875" style="483" bestFit="1" customWidth="1"/>
    <col min="13" max="13" width="8.7109375" style="483" bestFit="1" customWidth="1"/>
    <col min="14" max="16384" width="9.140625" style="483"/>
  </cols>
  <sheetData>
    <row r="1" spans="1:2">
      <c r="A1" s="1576" t="s">
        <v>1690</v>
      </c>
      <c r="B1" s="1577">
        <v>0</v>
      </c>
    </row>
    <row r="2" spans="1:2">
      <c r="A2" s="1576" t="s">
        <v>1691</v>
      </c>
      <c r="B2" s="1577">
        <v>0</v>
      </c>
    </row>
    <row r="3" spans="1:2">
      <c r="A3" s="1576" t="s">
        <v>1692</v>
      </c>
      <c r="B3" s="1577">
        <v>0</v>
      </c>
    </row>
    <row r="4" spans="1:2">
      <c r="A4" s="1576" t="s">
        <v>1693</v>
      </c>
      <c r="B4" s="1577">
        <v>0</v>
      </c>
    </row>
    <row r="5" spans="1:2">
      <c r="A5" s="1576" t="s">
        <v>1694</v>
      </c>
      <c r="B5" s="1577">
        <v>0</v>
      </c>
    </row>
    <row r="6" spans="1:2">
      <c r="A6" s="1576" t="s">
        <v>1695</v>
      </c>
      <c r="B6" s="1577">
        <v>0</v>
      </c>
    </row>
    <row r="7" spans="1:2">
      <c r="A7" s="1576" t="s">
        <v>1696</v>
      </c>
      <c r="B7" s="1577">
        <v>0</v>
      </c>
    </row>
    <row r="8" spans="1:2">
      <c r="A8" s="1576" t="s">
        <v>1697</v>
      </c>
      <c r="B8" s="1577">
        <v>0</v>
      </c>
    </row>
    <row r="9" spans="1:2">
      <c r="A9" s="1576" t="s">
        <v>1698</v>
      </c>
      <c r="B9" s="1577">
        <v>0.45</v>
      </c>
    </row>
    <row r="10" spans="1:2">
      <c r="A10" s="1576" t="s">
        <v>1699</v>
      </c>
      <c r="B10" s="1577">
        <v>0.4</v>
      </c>
    </row>
    <row r="11" spans="1:2">
      <c r="A11" s="1576" t="s">
        <v>1700</v>
      </c>
      <c r="B11" s="1576">
        <v>0.65</v>
      </c>
    </row>
    <row r="12" spans="1:2">
      <c r="A12" s="1576" t="s">
        <v>1701</v>
      </c>
      <c r="B12" s="1576">
        <v>0.4</v>
      </c>
    </row>
    <row r="13" spans="1:2">
      <c r="A13" s="1576" t="s">
        <v>1702</v>
      </c>
      <c r="B13" s="1576">
        <v>0.1</v>
      </c>
    </row>
    <row r="14" spans="1:2">
      <c r="A14" s="1576" t="s">
        <v>1703</v>
      </c>
      <c r="B14" s="1576">
        <v>0</v>
      </c>
    </row>
    <row r="15" spans="1:2">
      <c r="A15" s="1576" t="s">
        <v>1704</v>
      </c>
      <c r="B15" s="1576">
        <v>0.3</v>
      </c>
    </row>
    <row r="16" spans="1:2">
      <c r="A16" s="1576" t="s">
        <v>1705</v>
      </c>
      <c r="B16" s="1576">
        <v>0.3</v>
      </c>
    </row>
    <row r="17" spans="1:13">
      <c r="A17" s="1576" t="s">
        <v>1706</v>
      </c>
      <c r="B17" s="1576">
        <v>0.4</v>
      </c>
    </row>
    <row r="20" spans="1:13" ht="15">
      <c r="D20" s="1578" t="s">
        <v>1527</v>
      </c>
      <c r="E20" s="1578" t="s">
        <v>1039</v>
      </c>
      <c r="F20" s="1578" t="s">
        <v>1707</v>
      </c>
      <c r="G20" s="1578" t="s">
        <v>1708</v>
      </c>
      <c r="H20" s="1578" t="s">
        <v>1709</v>
      </c>
      <c r="I20" s="1578" t="s">
        <v>1710</v>
      </c>
      <c r="J20" s="1578" t="s">
        <v>1711</v>
      </c>
      <c r="K20" s="1578" t="s">
        <v>1712</v>
      </c>
      <c r="L20" s="1578" t="s">
        <v>1713</v>
      </c>
      <c r="M20" s="1578" t="s">
        <v>1123</v>
      </c>
    </row>
    <row r="21" spans="1:13" ht="30" hidden="1">
      <c r="D21" s="1579">
        <v>26</v>
      </c>
      <c r="E21" s="1580" t="s">
        <v>1714</v>
      </c>
      <c r="F21" s="1580" t="s">
        <v>137</v>
      </c>
      <c r="G21" s="1581">
        <v>41243</v>
      </c>
      <c r="H21" s="1582">
        <v>41243</v>
      </c>
      <c r="I21" s="1580" t="s">
        <v>1042</v>
      </c>
      <c r="J21" s="1580" t="s">
        <v>138</v>
      </c>
      <c r="K21" s="1579">
        <v>1663</v>
      </c>
      <c r="L21" s="1580" t="s">
        <v>1715</v>
      </c>
      <c r="M21" s="1580" t="s">
        <v>1716</v>
      </c>
    </row>
    <row r="22" spans="1:13" ht="30" hidden="1">
      <c r="D22" s="1579">
        <v>28</v>
      </c>
      <c r="E22" s="1580" t="s">
        <v>1717</v>
      </c>
      <c r="F22" s="1580" t="s">
        <v>1718</v>
      </c>
      <c r="G22" s="1581">
        <v>41214</v>
      </c>
      <c r="H22" s="484"/>
      <c r="I22" s="1580" t="s">
        <v>1042</v>
      </c>
      <c r="J22" s="1580" t="s">
        <v>138</v>
      </c>
      <c r="K22" s="1579">
        <v>1665</v>
      </c>
      <c r="L22" s="1580" t="s">
        <v>138</v>
      </c>
      <c r="M22" s="1580" t="s">
        <v>1716</v>
      </c>
    </row>
    <row r="23" spans="1:13" ht="30" hidden="1">
      <c r="D23" s="1579">
        <v>31</v>
      </c>
      <c r="E23" s="1580" t="s">
        <v>1719</v>
      </c>
      <c r="F23" s="1580" t="s">
        <v>139</v>
      </c>
      <c r="G23" s="1581">
        <v>41243</v>
      </c>
      <c r="H23" s="484"/>
      <c r="I23" s="1580" t="s">
        <v>1042</v>
      </c>
      <c r="J23" s="1580" t="s">
        <v>138</v>
      </c>
      <c r="K23" s="1579">
        <v>1666</v>
      </c>
      <c r="L23" s="1580" t="s">
        <v>138</v>
      </c>
      <c r="M23" s="1580" t="s">
        <v>1716</v>
      </c>
    </row>
    <row r="24" spans="1:13" ht="30" hidden="1">
      <c r="D24" s="1579">
        <v>32</v>
      </c>
      <c r="E24" s="1580" t="s">
        <v>1720</v>
      </c>
      <c r="F24" s="1580" t="s">
        <v>140</v>
      </c>
      <c r="G24" s="1581">
        <v>41094</v>
      </c>
      <c r="H24" s="484"/>
      <c r="I24" s="1580" t="s">
        <v>1042</v>
      </c>
      <c r="J24" s="1580" t="s">
        <v>138</v>
      </c>
      <c r="K24" s="1579">
        <v>1668</v>
      </c>
      <c r="L24" s="1580" t="s">
        <v>1721</v>
      </c>
      <c r="M24" s="1580" t="s">
        <v>1716</v>
      </c>
    </row>
    <row r="25" spans="1:13" ht="30" hidden="1">
      <c r="D25" s="1579">
        <v>37</v>
      </c>
      <c r="E25" s="1580" t="s">
        <v>1722</v>
      </c>
      <c r="F25" s="1580" t="s">
        <v>141</v>
      </c>
      <c r="G25" s="1581">
        <v>41149</v>
      </c>
      <c r="H25" s="484"/>
      <c r="I25" s="1580" t="s">
        <v>1042</v>
      </c>
      <c r="J25" s="1580" t="s">
        <v>138</v>
      </c>
      <c r="K25" s="1579">
        <v>1669</v>
      </c>
      <c r="L25" s="1580" t="s">
        <v>1723</v>
      </c>
      <c r="M25" s="1580" t="s">
        <v>1716</v>
      </c>
    </row>
    <row r="26" spans="1:13" ht="30" hidden="1">
      <c r="D26" s="1579">
        <v>38</v>
      </c>
      <c r="E26" s="1580" t="s">
        <v>1724</v>
      </c>
      <c r="F26" s="1580" t="s">
        <v>142</v>
      </c>
      <c r="G26" s="1581">
        <v>41180</v>
      </c>
      <c r="H26" s="1582">
        <v>41149</v>
      </c>
      <c r="I26" s="1580" t="s">
        <v>1042</v>
      </c>
      <c r="J26" s="1580" t="s">
        <v>138</v>
      </c>
      <c r="K26" s="1579">
        <v>1670</v>
      </c>
      <c r="L26" s="1580" t="s">
        <v>1725</v>
      </c>
      <c r="M26" s="1580" t="s">
        <v>1716</v>
      </c>
    </row>
    <row r="27" spans="1:13" ht="30" hidden="1">
      <c r="D27" s="1579">
        <v>39</v>
      </c>
      <c r="E27" s="1580" t="s">
        <v>1726</v>
      </c>
      <c r="F27" s="1580" t="s">
        <v>1727</v>
      </c>
      <c r="G27" s="1581">
        <v>41021</v>
      </c>
      <c r="H27" s="484"/>
      <c r="I27" s="1580" t="s">
        <v>1042</v>
      </c>
      <c r="J27" s="1580" t="s">
        <v>138</v>
      </c>
      <c r="K27" s="1579">
        <v>1671</v>
      </c>
      <c r="L27" s="1580" t="s">
        <v>1728</v>
      </c>
      <c r="M27" s="1580" t="s">
        <v>1716</v>
      </c>
    </row>
    <row r="28" spans="1:13" ht="30" hidden="1">
      <c r="D28" s="1579">
        <v>40</v>
      </c>
      <c r="E28" s="1580" t="s">
        <v>1729</v>
      </c>
      <c r="F28" s="1580" t="s">
        <v>144</v>
      </c>
      <c r="G28" s="1581">
        <v>41021</v>
      </c>
      <c r="H28" s="484"/>
      <c r="I28" s="1580" t="s">
        <v>1042</v>
      </c>
      <c r="J28" s="1580" t="s">
        <v>138</v>
      </c>
      <c r="K28" s="1579">
        <v>1672</v>
      </c>
      <c r="L28" s="1580" t="s">
        <v>1730</v>
      </c>
      <c r="M28" s="1580" t="s">
        <v>1716</v>
      </c>
    </row>
    <row r="29" spans="1:13" ht="30" hidden="1">
      <c r="D29" s="1579">
        <v>43</v>
      </c>
      <c r="E29" s="1580" t="s">
        <v>1731</v>
      </c>
      <c r="F29" s="1580" t="s">
        <v>145</v>
      </c>
      <c r="G29" s="1581">
        <v>41028</v>
      </c>
      <c r="H29" s="484"/>
      <c r="I29" s="1580" t="s">
        <v>1042</v>
      </c>
      <c r="J29" s="1580" t="s">
        <v>138</v>
      </c>
      <c r="K29" s="1579">
        <v>1674</v>
      </c>
      <c r="L29" s="1580" t="s">
        <v>1732</v>
      </c>
      <c r="M29" s="1580" t="s">
        <v>1716</v>
      </c>
    </row>
    <row r="30" spans="1:13" ht="30" hidden="1">
      <c r="D30" s="1579">
        <v>44</v>
      </c>
      <c r="E30" s="1580" t="s">
        <v>1733</v>
      </c>
      <c r="F30" s="1580" t="s">
        <v>146</v>
      </c>
      <c r="G30" s="1581">
        <v>41180</v>
      </c>
      <c r="H30" s="484"/>
      <c r="I30" s="1580" t="s">
        <v>1042</v>
      </c>
      <c r="J30" s="1580" t="s">
        <v>138</v>
      </c>
      <c r="K30" s="1579">
        <v>1675</v>
      </c>
      <c r="L30" s="1580" t="s">
        <v>1734</v>
      </c>
      <c r="M30" s="1580" t="s">
        <v>1716</v>
      </c>
    </row>
    <row r="31" spans="1:13" ht="30" hidden="1">
      <c r="D31" s="1579">
        <v>46</v>
      </c>
      <c r="E31" s="1580" t="s">
        <v>1735</v>
      </c>
      <c r="F31" s="1580" t="s">
        <v>147</v>
      </c>
      <c r="G31" s="1581">
        <v>41051</v>
      </c>
      <c r="H31" s="1582">
        <v>41257</v>
      </c>
      <c r="I31" s="1580" t="s">
        <v>1042</v>
      </c>
      <c r="J31" s="1580" t="s">
        <v>1736</v>
      </c>
      <c r="K31" s="1579">
        <v>1676</v>
      </c>
      <c r="L31" s="1580" t="s">
        <v>1737</v>
      </c>
      <c r="M31" s="1580" t="s">
        <v>1716</v>
      </c>
    </row>
    <row r="32" spans="1:13" ht="30" hidden="1">
      <c r="D32" s="1579">
        <v>47</v>
      </c>
      <c r="E32" s="1580" t="s">
        <v>1738</v>
      </c>
      <c r="F32" s="1580" t="s">
        <v>148</v>
      </c>
      <c r="G32" s="1581">
        <v>41021</v>
      </c>
      <c r="H32" s="484"/>
      <c r="I32" s="1580" t="s">
        <v>1042</v>
      </c>
      <c r="J32" s="1580" t="s">
        <v>138</v>
      </c>
      <c r="K32" s="1579">
        <v>1677</v>
      </c>
      <c r="L32" s="1580" t="s">
        <v>1739</v>
      </c>
      <c r="M32" s="1580" t="s">
        <v>1716</v>
      </c>
    </row>
    <row r="33" spans="4:13" ht="15" hidden="1">
      <c r="D33" s="1579">
        <v>51</v>
      </c>
      <c r="E33" s="1580" t="s">
        <v>1740</v>
      </c>
      <c r="F33" s="1580" t="s">
        <v>149</v>
      </c>
      <c r="G33" s="1581">
        <v>41235</v>
      </c>
      <c r="H33" s="1582">
        <v>41210</v>
      </c>
      <c r="I33" s="1580" t="s">
        <v>1042</v>
      </c>
      <c r="J33" s="1580" t="s">
        <v>1736</v>
      </c>
      <c r="K33" s="1579">
        <v>1682</v>
      </c>
      <c r="L33" s="1580" t="s">
        <v>1741</v>
      </c>
      <c r="M33" s="1580" t="s">
        <v>1716</v>
      </c>
    </row>
    <row r="34" spans="4:13" ht="15" hidden="1">
      <c r="D34" s="1579">
        <v>56</v>
      </c>
      <c r="E34" s="1580" t="s">
        <v>1742</v>
      </c>
      <c r="F34" s="1580" t="s">
        <v>1743</v>
      </c>
      <c r="G34" s="484"/>
      <c r="H34" s="484"/>
      <c r="I34" s="1580" t="s">
        <v>1042</v>
      </c>
      <c r="J34" s="1580" t="s">
        <v>138</v>
      </c>
      <c r="K34" s="1579">
        <v>1683</v>
      </c>
      <c r="L34" s="1580" t="s">
        <v>138</v>
      </c>
      <c r="M34" s="1580" t="s">
        <v>1716</v>
      </c>
    </row>
    <row r="35" spans="4:13" ht="30" hidden="1">
      <c r="D35" s="1579">
        <v>63</v>
      </c>
      <c r="E35" s="1580" t="s">
        <v>1744</v>
      </c>
      <c r="F35" s="1580" t="s">
        <v>150</v>
      </c>
      <c r="G35" s="1581">
        <v>41007</v>
      </c>
      <c r="H35" s="484"/>
      <c r="I35" s="1580" t="s">
        <v>1042</v>
      </c>
      <c r="J35" s="1580" t="s">
        <v>138</v>
      </c>
      <c r="K35" s="1579">
        <v>1688</v>
      </c>
      <c r="L35" s="1580" t="s">
        <v>1745</v>
      </c>
      <c r="M35" s="1580" t="s">
        <v>1716</v>
      </c>
    </row>
    <row r="36" spans="4:13" ht="30" hidden="1">
      <c r="D36" s="1579">
        <v>69</v>
      </c>
      <c r="E36" s="1580" t="s">
        <v>1746</v>
      </c>
      <c r="F36" s="1580" t="s">
        <v>1747</v>
      </c>
      <c r="G36" s="1581">
        <v>40990</v>
      </c>
      <c r="H36" s="1582">
        <v>42038</v>
      </c>
      <c r="I36" s="1580" t="s">
        <v>1042</v>
      </c>
      <c r="J36" s="1580" t="s">
        <v>138</v>
      </c>
      <c r="K36" s="1579">
        <v>1692</v>
      </c>
      <c r="L36" s="1580" t="s">
        <v>1748</v>
      </c>
      <c r="M36" s="1580" t="s">
        <v>1716</v>
      </c>
    </row>
    <row r="37" spans="4:13" ht="30" hidden="1">
      <c r="D37" s="1579">
        <v>70</v>
      </c>
      <c r="E37" s="1580" t="s">
        <v>1749</v>
      </c>
      <c r="F37" s="1580" t="s">
        <v>1750</v>
      </c>
      <c r="G37" s="1581">
        <v>40990</v>
      </c>
      <c r="H37" s="1582">
        <v>42038</v>
      </c>
      <c r="I37" s="1580" t="s">
        <v>1042</v>
      </c>
      <c r="J37" s="1580" t="s">
        <v>138</v>
      </c>
      <c r="K37" s="1579">
        <v>1693</v>
      </c>
      <c r="L37" s="1580" t="s">
        <v>1751</v>
      </c>
      <c r="M37" s="1580" t="s">
        <v>1716</v>
      </c>
    </row>
    <row r="38" spans="4:13" ht="30" hidden="1">
      <c r="D38" s="1579">
        <v>71</v>
      </c>
      <c r="E38" s="1580" t="s">
        <v>1752</v>
      </c>
      <c r="F38" s="1580" t="s">
        <v>1753</v>
      </c>
      <c r="G38" s="1581">
        <v>40990</v>
      </c>
      <c r="H38" s="1582">
        <v>42038</v>
      </c>
      <c r="I38" s="1580" t="s">
        <v>1042</v>
      </c>
      <c r="J38" s="1580" t="s">
        <v>138</v>
      </c>
      <c r="K38" s="1579">
        <v>1694</v>
      </c>
      <c r="L38" s="1580" t="s">
        <v>1754</v>
      </c>
      <c r="M38" s="1580" t="s">
        <v>1716</v>
      </c>
    </row>
    <row r="39" spans="4:13" ht="30" hidden="1">
      <c r="D39" s="1579">
        <v>72</v>
      </c>
      <c r="E39" s="1580" t="s">
        <v>1755</v>
      </c>
      <c r="F39" s="1580" t="s">
        <v>204</v>
      </c>
      <c r="G39" s="1581">
        <v>40990</v>
      </c>
      <c r="H39" s="1582">
        <v>42038</v>
      </c>
      <c r="I39" s="1580" t="s">
        <v>1042</v>
      </c>
      <c r="J39" s="1580" t="s">
        <v>138</v>
      </c>
      <c r="K39" s="1579">
        <v>1695</v>
      </c>
      <c r="L39" s="1580" t="s">
        <v>1756</v>
      </c>
      <c r="M39" s="1580" t="s">
        <v>1716</v>
      </c>
    </row>
    <row r="40" spans="4:13" ht="30" hidden="1">
      <c r="D40" s="1579">
        <v>73</v>
      </c>
      <c r="E40" s="1580" t="s">
        <v>1757</v>
      </c>
      <c r="F40" s="1580" t="s">
        <v>1758</v>
      </c>
      <c r="G40" s="1581">
        <v>40990</v>
      </c>
      <c r="H40" s="1582">
        <v>42038</v>
      </c>
      <c r="I40" s="1580" t="s">
        <v>1042</v>
      </c>
      <c r="J40" s="1580" t="s">
        <v>1736</v>
      </c>
      <c r="K40" s="1579">
        <v>1696</v>
      </c>
      <c r="L40" s="1580" t="s">
        <v>1759</v>
      </c>
      <c r="M40" s="1580" t="s">
        <v>1716</v>
      </c>
    </row>
    <row r="41" spans="4:13" ht="30" hidden="1">
      <c r="D41" s="1579">
        <v>75</v>
      </c>
      <c r="E41" s="1580" t="s">
        <v>1760</v>
      </c>
      <c r="F41" s="1580" t="s">
        <v>1761</v>
      </c>
      <c r="G41" s="1581">
        <v>41039</v>
      </c>
      <c r="H41" s="484"/>
      <c r="I41" s="1580" t="s">
        <v>1042</v>
      </c>
      <c r="J41" s="1580" t="s">
        <v>138</v>
      </c>
      <c r="K41" s="1579">
        <v>1697</v>
      </c>
      <c r="L41" s="1580" t="s">
        <v>1762</v>
      </c>
      <c r="M41" s="1580" t="s">
        <v>1716</v>
      </c>
    </row>
    <row r="42" spans="4:13" ht="30" hidden="1">
      <c r="D42" s="1579">
        <v>82</v>
      </c>
      <c r="E42" s="1580" t="s">
        <v>1763</v>
      </c>
      <c r="F42" s="1580" t="s">
        <v>151</v>
      </c>
      <c r="G42" s="1581">
        <v>41089</v>
      </c>
      <c r="H42" s="1582">
        <v>41084</v>
      </c>
      <c r="I42" s="1580" t="s">
        <v>1042</v>
      </c>
      <c r="J42" s="1580" t="s">
        <v>1736</v>
      </c>
      <c r="K42" s="1579">
        <v>1701</v>
      </c>
      <c r="L42" s="1580" t="s">
        <v>1764</v>
      </c>
      <c r="M42" s="1580" t="s">
        <v>1716</v>
      </c>
    </row>
    <row r="43" spans="4:13" ht="30" hidden="1">
      <c r="D43" s="1579">
        <v>83</v>
      </c>
      <c r="E43" s="1580" t="s">
        <v>1765</v>
      </c>
      <c r="F43" s="1580" t="s">
        <v>207</v>
      </c>
      <c r="G43" s="1581">
        <v>41147</v>
      </c>
      <c r="H43" s="484"/>
      <c r="I43" s="1580" t="s">
        <v>1042</v>
      </c>
      <c r="J43" s="1580" t="s">
        <v>1736</v>
      </c>
      <c r="K43" s="1579">
        <v>1702</v>
      </c>
      <c r="L43" s="1580" t="s">
        <v>1766</v>
      </c>
      <c r="M43" s="1580" t="s">
        <v>1716</v>
      </c>
    </row>
    <row r="44" spans="4:13" ht="30" hidden="1">
      <c r="D44" s="1579">
        <v>84</v>
      </c>
      <c r="E44" s="1580" t="s">
        <v>1767</v>
      </c>
      <c r="F44" s="1580" t="s">
        <v>1768</v>
      </c>
      <c r="G44" s="1581">
        <v>41089</v>
      </c>
      <c r="H44" s="484"/>
      <c r="I44" s="1580" t="s">
        <v>1042</v>
      </c>
      <c r="J44" s="1580" t="s">
        <v>1736</v>
      </c>
      <c r="K44" s="1579">
        <v>1703</v>
      </c>
      <c r="L44" s="1580" t="s">
        <v>1769</v>
      </c>
      <c r="M44" s="1580" t="s">
        <v>1716</v>
      </c>
    </row>
    <row r="45" spans="4:13" ht="30" hidden="1">
      <c r="D45" s="1579">
        <v>86</v>
      </c>
      <c r="E45" s="1580" t="s">
        <v>1770</v>
      </c>
      <c r="F45" s="1580" t="s">
        <v>152</v>
      </c>
      <c r="G45" s="1581">
        <v>41150</v>
      </c>
      <c r="H45" s="1582">
        <v>41865</v>
      </c>
      <c r="I45" s="1580" t="s">
        <v>1042</v>
      </c>
      <c r="J45" s="1580" t="s">
        <v>1736</v>
      </c>
      <c r="K45" s="1579">
        <v>1704</v>
      </c>
      <c r="L45" s="1580" t="s">
        <v>1771</v>
      </c>
      <c r="M45" s="1580" t="s">
        <v>1716</v>
      </c>
    </row>
    <row r="46" spans="4:13" ht="30" hidden="1">
      <c r="D46" s="1579">
        <v>87</v>
      </c>
      <c r="E46" s="1580" t="s">
        <v>1772</v>
      </c>
      <c r="F46" s="1580" t="s">
        <v>153</v>
      </c>
      <c r="G46" s="1581">
        <v>41150</v>
      </c>
      <c r="H46" s="1582">
        <v>41128</v>
      </c>
      <c r="I46" s="1580" t="s">
        <v>1042</v>
      </c>
      <c r="J46" s="1580" t="s">
        <v>1736</v>
      </c>
      <c r="K46" s="1579">
        <v>1705</v>
      </c>
      <c r="L46" s="1580" t="s">
        <v>1773</v>
      </c>
      <c r="M46" s="1580" t="s">
        <v>1716</v>
      </c>
    </row>
    <row r="47" spans="4:13" ht="30" hidden="1">
      <c r="D47" s="1579">
        <v>88</v>
      </c>
      <c r="E47" s="1580" t="s">
        <v>1774</v>
      </c>
      <c r="F47" s="1580" t="s">
        <v>1775</v>
      </c>
      <c r="G47" s="1581">
        <v>41150</v>
      </c>
      <c r="H47" s="1582">
        <v>41865</v>
      </c>
      <c r="I47" s="1580" t="s">
        <v>1042</v>
      </c>
      <c r="J47" s="1580" t="s">
        <v>1736</v>
      </c>
      <c r="K47" s="1579">
        <v>1706</v>
      </c>
      <c r="L47" s="1580" t="s">
        <v>1776</v>
      </c>
      <c r="M47" s="1580" t="s">
        <v>1716</v>
      </c>
    </row>
    <row r="48" spans="4:13" ht="15" hidden="1">
      <c r="D48" s="1579">
        <v>95</v>
      </c>
      <c r="E48" s="1580" t="s">
        <v>1777</v>
      </c>
      <c r="F48" s="1580" t="s">
        <v>154</v>
      </c>
      <c r="G48" s="1581">
        <v>41112</v>
      </c>
      <c r="H48" s="1582">
        <v>41089</v>
      </c>
      <c r="I48" s="1580" t="s">
        <v>1042</v>
      </c>
      <c r="J48" s="1580" t="s">
        <v>1736</v>
      </c>
      <c r="K48" s="1579">
        <v>1708</v>
      </c>
      <c r="L48" s="1580" t="s">
        <v>1778</v>
      </c>
      <c r="M48" s="1580" t="s">
        <v>1716</v>
      </c>
    </row>
    <row r="49" spans="4:13" ht="30" hidden="1">
      <c r="D49" s="1579">
        <v>103</v>
      </c>
      <c r="E49" s="1580" t="s">
        <v>1779</v>
      </c>
      <c r="F49" s="1580" t="s">
        <v>155</v>
      </c>
      <c r="G49" s="1581">
        <v>41235</v>
      </c>
      <c r="H49" s="1582">
        <v>41164</v>
      </c>
      <c r="I49" s="1580" t="s">
        <v>1042</v>
      </c>
      <c r="J49" s="1580" t="s">
        <v>1736</v>
      </c>
      <c r="K49" s="1579">
        <v>1710</v>
      </c>
      <c r="L49" s="1580" t="s">
        <v>1780</v>
      </c>
      <c r="M49" s="1580" t="s">
        <v>1716</v>
      </c>
    </row>
    <row r="50" spans="4:13" ht="30">
      <c r="D50" s="1579">
        <v>213</v>
      </c>
      <c r="E50" s="1580" t="s">
        <v>1781</v>
      </c>
      <c r="F50" s="1580" t="s">
        <v>1782</v>
      </c>
      <c r="G50" s="484"/>
      <c r="H50" s="484"/>
      <c r="I50" s="1580" t="s">
        <v>1042</v>
      </c>
      <c r="J50" s="1580" t="s">
        <v>138</v>
      </c>
      <c r="K50" s="1579">
        <v>1757</v>
      </c>
      <c r="L50" s="1580" t="s">
        <v>138</v>
      </c>
      <c r="M50" s="1580" t="s">
        <v>1258</v>
      </c>
    </row>
    <row r="51" spans="4:13" ht="30" hidden="1">
      <c r="D51" s="1579">
        <v>369</v>
      </c>
      <c r="E51" s="1580" t="s">
        <v>1783</v>
      </c>
      <c r="F51" s="1580" t="s">
        <v>156</v>
      </c>
      <c r="G51" s="1581">
        <v>41243</v>
      </c>
      <c r="H51" s="1582">
        <v>41243</v>
      </c>
      <c r="I51" s="1580" t="s">
        <v>1042</v>
      </c>
      <c r="J51" s="1580" t="s">
        <v>138</v>
      </c>
      <c r="K51" s="1579">
        <v>1770</v>
      </c>
      <c r="L51" s="1580" t="s">
        <v>1784</v>
      </c>
      <c r="M51" s="1580" t="s">
        <v>1716</v>
      </c>
    </row>
    <row r="52" spans="4:13" ht="15" hidden="1">
      <c r="D52" s="1579">
        <v>370</v>
      </c>
      <c r="E52" s="1580" t="s">
        <v>1785</v>
      </c>
      <c r="F52" s="1580" t="s">
        <v>1786</v>
      </c>
      <c r="G52" s="1581">
        <v>41214</v>
      </c>
      <c r="H52" s="1582">
        <v>41214</v>
      </c>
      <c r="I52" s="1580" t="s">
        <v>1042</v>
      </c>
      <c r="J52" s="1580" t="s">
        <v>138</v>
      </c>
      <c r="K52" s="1579">
        <v>1771</v>
      </c>
      <c r="L52" s="1580" t="s">
        <v>1787</v>
      </c>
      <c r="M52" s="1580" t="s">
        <v>1716</v>
      </c>
    </row>
    <row r="53" spans="4:13" ht="30" hidden="1">
      <c r="D53" s="1579">
        <v>371</v>
      </c>
      <c r="E53" s="1580" t="s">
        <v>1788</v>
      </c>
      <c r="F53" s="1580" t="s">
        <v>159</v>
      </c>
      <c r="G53" s="1581">
        <v>40762</v>
      </c>
      <c r="H53" s="484"/>
      <c r="I53" s="1580" t="s">
        <v>1042</v>
      </c>
      <c r="J53" s="1580" t="s">
        <v>138</v>
      </c>
      <c r="K53" s="1579">
        <v>1772</v>
      </c>
      <c r="L53" s="1580" t="s">
        <v>1789</v>
      </c>
      <c r="M53" s="1580" t="s">
        <v>1716</v>
      </c>
    </row>
    <row r="54" spans="4:13" ht="30" hidden="1">
      <c r="D54" s="1579">
        <v>380</v>
      </c>
      <c r="E54" s="1580" t="s">
        <v>1790</v>
      </c>
      <c r="F54" s="1580" t="s">
        <v>1791</v>
      </c>
      <c r="G54" s="1581">
        <v>41128</v>
      </c>
      <c r="H54" s="484"/>
      <c r="I54" s="1580" t="s">
        <v>1042</v>
      </c>
      <c r="J54" s="1580" t="s">
        <v>138</v>
      </c>
      <c r="K54" s="1579">
        <v>1777</v>
      </c>
      <c r="L54" s="1580" t="s">
        <v>1792</v>
      </c>
      <c r="M54" s="1580" t="s">
        <v>1716</v>
      </c>
    </row>
    <row r="55" spans="4:13" ht="30" hidden="1">
      <c r="D55" s="1579">
        <v>381</v>
      </c>
      <c r="E55" s="1580" t="s">
        <v>1793</v>
      </c>
      <c r="F55" s="1580" t="s">
        <v>161</v>
      </c>
      <c r="G55" s="1581">
        <v>41143</v>
      </c>
      <c r="H55" s="1582">
        <v>41136</v>
      </c>
      <c r="I55" s="1580" t="s">
        <v>1042</v>
      </c>
      <c r="J55" s="1580" t="s">
        <v>138</v>
      </c>
      <c r="K55" s="1579">
        <v>1778</v>
      </c>
      <c r="L55" s="1580" t="s">
        <v>1794</v>
      </c>
      <c r="M55" s="1580" t="s">
        <v>1716</v>
      </c>
    </row>
    <row r="56" spans="4:13" ht="30" hidden="1">
      <c r="D56" s="1579">
        <v>382</v>
      </c>
      <c r="E56" s="1580" t="s">
        <v>1795</v>
      </c>
      <c r="F56" s="1580" t="s">
        <v>162</v>
      </c>
      <c r="G56" s="1581">
        <v>40983</v>
      </c>
      <c r="H56" s="1582">
        <v>41220</v>
      </c>
      <c r="I56" s="1580" t="s">
        <v>1042</v>
      </c>
      <c r="J56" s="1580" t="s">
        <v>138</v>
      </c>
      <c r="K56" s="1579">
        <v>1779</v>
      </c>
      <c r="L56" s="1580" t="s">
        <v>1796</v>
      </c>
      <c r="M56" s="1580" t="s">
        <v>1716</v>
      </c>
    </row>
    <row r="57" spans="4:13" ht="30" hidden="1">
      <c r="D57" s="1579">
        <v>383</v>
      </c>
      <c r="E57" s="1580" t="s">
        <v>1797</v>
      </c>
      <c r="F57" s="1580" t="s">
        <v>491</v>
      </c>
      <c r="G57" s="1581">
        <v>40983</v>
      </c>
      <c r="H57" s="484"/>
      <c r="I57" s="1580" t="s">
        <v>1042</v>
      </c>
      <c r="J57" s="1580" t="s">
        <v>138</v>
      </c>
      <c r="K57" s="1579">
        <v>1780</v>
      </c>
      <c r="L57" s="1580" t="s">
        <v>1798</v>
      </c>
      <c r="M57" s="1580" t="s">
        <v>1716</v>
      </c>
    </row>
    <row r="58" spans="4:13" ht="30" hidden="1">
      <c r="D58" s="1579">
        <v>385</v>
      </c>
      <c r="E58" s="1580" t="s">
        <v>1799</v>
      </c>
      <c r="F58" s="1580" t="s">
        <v>164</v>
      </c>
      <c r="G58" s="1581">
        <v>41148</v>
      </c>
      <c r="H58" s="484"/>
      <c r="I58" s="1580" t="s">
        <v>1042</v>
      </c>
      <c r="J58" s="1580" t="s">
        <v>138</v>
      </c>
      <c r="K58" s="1579">
        <v>1782</v>
      </c>
      <c r="L58" s="1580" t="s">
        <v>1800</v>
      </c>
      <c r="M58" s="1580" t="s">
        <v>1716</v>
      </c>
    </row>
    <row r="59" spans="4:13" ht="30" hidden="1">
      <c r="D59" s="1579">
        <v>386</v>
      </c>
      <c r="E59" s="1580" t="s">
        <v>1801</v>
      </c>
      <c r="F59" s="1580" t="s">
        <v>1802</v>
      </c>
      <c r="G59" s="1581">
        <v>41039</v>
      </c>
      <c r="H59" s="484"/>
      <c r="I59" s="1580" t="s">
        <v>1042</v>
      </c>
      <c r="J59" s="1580" t="s">
        <v>138</v>
      </c>
      <c r="K59" s="1579">
        <v>1783</v>
      </c>
      <c r="L59" s="1580" t="s">
        <v>1803</v>
      </c>
      <c r="M59" s="1580" t="s">
        <v>1716</v>
      </c>
    </row>
    <row r="60" spans="4:13" ht="45" hidden="1">
      <c r="D60" s="1579">
        <v>390</v>
      </c>
      <c r="E60" s="1580" t="s">
        <v>1804</v>
      </c>
      <c r="F60" s="1580" t="s">
        <v>312</v>
      </c>
      <c r="G60" s="1581">
        <v>41094</v>
      </c>
      <c r="H60" s="484"/>
      <c r="I60" s="1580" t="s">
        <v>1042</v>
      </c>
      <c r="J60" s="1580" t="s">
        <v>138</v>
      </c>
      <c r="K60" s="1579">
        <v>1787</v>
      </c>
      <c r="L60" s="1580" t="s">
        <v>1805</v>
      </c>
      <c r="M60" s="1580" t="s">
        <v>1716</v>
      </c>
    </row>
    <row r="61" spans="4:13" ht="30" hidden="1">
      <c r="D61" s="1579">
        <v>391</v>
      </c>
      <c r="E61" s="1580" t="s">
        <v>1806</v>
      </c>
      <c r="F61" s="1580" t="s">
        <v>288</v>
      </c>
      <c r="G61" s="1581">
        <v>41205</v>
      </c>
      <c r="H61" s="484"/>
      <c r="I61" s="1580" t="s">
        <v>1042</v>
      </c>
      <c r="J61" s="1580" t="s">
        <v>138</v>
      </c>
      <c r="K61" s="1579">
        <v>1788</v>
      </c>
      <c r="L61" s="1580" t="s">
        <v>1807</v>
      </c>
      <c r="M61" s="1580" t="s">
        <v>1716</v>
      </c>
    </row>
    <row r="62" spans="4:13" ht="30" hidden="1">
      <c r="D62" s="1579">
        <v>396</v>
      </c>
      <c r="E62" s="1580" t="s">
        <v>1808</v>
      </c>
      <c r="F62" s="1580" t="s">
        <v>1809</v>
      </c>
      <c r="G62" s="1581">
        <v>41018</v>
      </c>
      <c r="H62" s="484"/>
      <c r="I62" s="1580" t="s">
        <v>1042</v>
      </c>
      <c r="J62" s="1580" t="s">
        <v>138</v>
      </c>
      <c r="K62" s="1579">
        <v>1792</v>
      </c>
      <c r="L62" s="1580" t="s">
        <v>1810</v>
      </c>
      <c r="M62" s="1580" t="s">
        <v>1716</v>
      </c>
    </row>
    <row r="63" spans="4:13" ht="15" hidden="1">
      <c r="D63" s="1579">
        <v>397</v>
      </c>
      <c r="E63" s="1580" t="s">
        <v>1811</v>
      </c>
      <c r="F63" s="1580" t="s">
        <v>206</v>
      </c>
      <c r="G63" s="1581">
        <v>41079</v>
      </c>
      <c r="H63" s="1582">
        <v>39922</v>
      </c>
      <c r="I63" s="1580" t="s">
        <v>1042</v>
      </c>
      <c r="J63" s="1580" t="s">
        <v>138</v>
      </c>
      <c r="K63" s="1579">
        <v>1793</v>
      </c>
      <c r="L63" s="1580" t="s">
        <v>1812</v>
      </c>
      <c r="M63" s="1580" t="s">
        <v>1716</v>
      </c>
    </row>
    <row r="64" spans="4:13" ht="30" hidden="1">
      <c r="D64" s="1579">
        <v>398</v>
      </c>
      <c r="E64" s="1580" t="s">
        <v>1813</v>
      </c>
      <c r="F64" s="1580" t="s">
        <v>167</v>
      </c>
      <c r="G64" s="1581">
        <v>41112</v>
      </c>
      <c r="H64" s="1582">
        <v>41089</v>
      </c>
      <c r="I64" s="1580" t="s">
        <v>1042</v>
      </c>
      <c r="J64" s="1580" t="s">
        <v>1736</v>
      </c>
      <c r="K64" s="1579">
        <v>1794</v>
      </c>
      <c r="L64" s="1580" t="s">
        <v>1814</v>
      </c>
      <c r="M64" s="1580" t="s">
        <v>1716</v>
      </c>
    </row>
    <row r="65" spans="4:13" ht="30" hidden="1">
      <c r="D65" s="1579">
        <v>399</v>
      </c>
      <c r="E65" s="1580" t="s">
        <v>1815</v>
      </c>
      <c r="F65" s="1580" t="s">
        <v>168</v>
      </c>
      <c r="G65" s="1581">
        <v>41112</v>
      </c>
      <c r="H65" s="1582">
        <v>41089</v>
      </c>
      <c r="I65" s="1580" t="s">
        <v>1042</v>
      </c>
      <c r="J65" s="1580" t="s">
        <v>1736</v>
      </c>
      <c r="K65" s="1579">
        <v>1795</v>
      </c>
      <c r="L65" s="1580" t="s">
        <v>1816</v>
      </c>
      <c r="M65" s="1580" t="s">
        <v>1716</v>
      </c>
    </row>
    <row r="66" spans="4:13" ht="30" hidden="1">
      <c r="D66" s="1579">
        <v>400</v>
      </c>
      <c r="E66" s="1580" t="s">
        <v>1817</v>
      </c>
      <c r="F66" s="1580" t="s">
        <v>169</v>
      </c>
      <c r="G66" s="1581">
        <v>41051</v>
      </c>
      <c r="H66" s="1582">
        <v>41018</v>
      </c>
      <c r="I66" s="1580" t="s">
        <v>1042</v>
      </c>
      <c r="J66" s="1580" t="s">
        <v>1736</v>
      </c>
      <c r="K66" s="1579">
        <v>1796</v>
      </c>
      <c r="L66" s="1580" t="s">
        <v>1818</v>
      </c>
      <c r="M66" s="1580" t="s">
        <v>1716</v>
      </c>
    </row>
    <row r="67" spans="4:13" ht="30" hidden="1">
      <c r="D67" s="1579">
        <v>401</v>
      </c>
      <c r="E67" s="1580" t="s">
        <v>1819</v>
      </c>
      <c r="F67" s="1580" t="s">
        <v>170</v>
      </c>
      <c r="G67" s="1581">
        <v>41112</v>
      </c>
      <c r="H67" s="1582">
        <v>41089</v>
      </c>
      <c r="I67" s="1580" t="s">
        <v>1042</v>
      </c>
      <c r="J67" s="1580" t="s">
        <v>1736</v>
      </c>
      <c r="K67" s="1579">
        <v>1797</v>
      </c>
      <c r="L67" s="1580" t="s">
        <v>1820</v>
      </c>
      <c r="M67" s="1580" t="s">
        <v>1716</v>
      </c>
    </row>
    <row r="68" spans="4:13" ht="30" hidden="1">
      <c r="D68" s="1579">
        <v>404</v>
      </c>
      <c r="E68" s="1580" t="s">
        <v>1821</v>
      </c>
      <c r="F68" s="1580" t="s">
        <v>171</v>
      </c>
      <c r="G68" s="1581">
        <v>41007</v>
      </c>
      <c r="H68" s="484"/>
      <c r="I68" s="1580" t="s">
        <v>1042</v>
      </c>
      <c r="J68" s="1580" t="s">
        <v>138</v>
      </c>
      <c r="K68" s="1579">
        <v>1800</v>
      </c>
      <c r="L68" s="1580" t="s">
        <v>1822</v>
      </c>
      <c r="M68" s="1580" t="s">
        <v>1716</v>
      </c>
    </row>
    <row r="69" spans="4:13" ht="30" hidden="1">
      <c r="D69" s="1579">
        <v>405</v>
      </c>
      <c r="E69" s="1580" t="s">
        <v>1823</v>
      </c>
      <c r="F69" s="1580" t="s">
        <v>173</v>
      </c>
      <c r="G69" s="1581">
        <v>41007</v>
      </c>
      <c r="H69" s="484"/>
      <c r="I69" s="1580" t="s">
        <v>1042</v>
      </c>
      <c r="J69" s="1580" t="s">
        <v>138</v>
      </c>
      <c r="K69" s="1579">
        <v>1802</v>
      </c>
      <c r="L69" s="1580" t="s">
        <v>1824</v>
      </c>
      <c r="M69" s="1580" t="s">
        <v>1716</v>
      </c>
    </row>
    <row r="70" spans="4:13" ht="30">
      <c r="D70" s="1579">
        <v>598</v>
      </c>
      <c r="E70" s="1580" t="s">
        <v>1825</v>
      </c>
      <c r="F70" s="1580" t="s">
        <v>1826</v>
      </c>
      <c r="G70" s="1581">
        <v>41485</v>
      </c>
      <c r="H70" s="484"/>
      <c r="I70" s="1580" t="s">
        <v>1042</v>
      </c>
      <c r="J70" s="1580" t="s">
        <v>1736</v>
      </c>
      <c r="K70" s="1579">
        <v>1855</v>
      </c>
      <c r="L70" s="1580" t="s">
        <v>1827</v>
      </c>
      <c r="M70" s="1580" t="s">
        <v>1258</v>
      </c>
    </row>
    <row r="71" spans="4:13" ht="30">
      <c r="D71" s="1579">
        <v>2351</v>
      </c>
      <c r="E71" s="1580" t="s">
        <v>1828</v>
      </c>
      <c r="F71" s="1580" t="s">
        <v>465</v>
      </c>
      <c r="G71" s="1581">
        <v>41485</v>
      </c>
      <c r="H71" s="484"/>
      <c r="I71" s="1580" t="s">
        <v>1042</v>
      </c>
      <c r="J71" s="1580" t="s">
        <v>1736</v>
      </c>
      <c r="K71" s="1579">
        <v>2062</v>
      </c>
      <c r="L71" s="1580" t="s">
        <v>1829</v>
      </c>
      <c r="M71" s="1580" t="s">
        <v>1258</v>
      </c>
    </row>
    <row r="72" spans="4:13" ht="45">
      <c r="D72" s="1579">
        <v>2381</v>
      </c>
      <c r="E72" s="1580" t="s">
        <v>1830</v>
      </c>
      <c r="F72" s="1580" t="s">
        <v>437</v>
      </c>
      <c r="G72" s="1581">
        <v>41485</v>
      </c>
      <c r="H72" s="484"/>
      <c r="I72" s="1580" t="s">
        <v>1042</v>
      </c>
      <c r="J72" s="1580" t="s">
        <v>1736</v>
      </c>
      <c r="K72" s="1579">
        <v>2066</v>
      </c>
      <c r="L72" s="1580" t="s">
        <v>1831</v>
      </c>
      <c r="M72" s="1580" t="s">
        <v>1258</v>
      </c>
    </row>
    <row r="73" spans="4:13" ht="30" hidden="1">
      <c r="D73" s="1579">
        <v>2513</v>
      </c>
      <c r="E73" s="1580" t="s">
        <v>1832</v>
      </c>
      <c r="F73" s="1580" t="s">
        <v>1833</v>
      </c>
      <c r="G73" s="1581">
        <v>40909</v>
      </c>
      <c r="H73" s="484"/>
      <c r="I73" s="1580" t="s">
        <v>1042</v>
      </c>
      <c r="J73" s="1580" t="s">
        <v>138</v>
      </c>
      <c r="K73" s="1579">
        <v>2076</v>
      </c>
      <c r="L73" s="1580" t="s">
        <v>138</v>
      </c>
      <c r="M73" s="1580" t="s">
        <v>138</v>
      </c>
    </row>
    <row r="74" spans="4:13" ht="45">
      <c r="D74" s="1579">
        <v>2763</v>
      </c>
      <c r="E74" s="1580" t="s">
        <v>1834</v>
      </c>
      <c r="F74" s="1580" t="s">
        <v>175</v>
      </c>
      <c r="G74" s="1581">
        <v>41485</v>
      </c>
      <c r="H74" s="484"/>
      <c r="I74" s="1580" t="s">
        <v>1042</v>
      </c>
      <c r="J74" s="1580" t="s">
        <v>1736</v>
      </c>
      <c r="K74" s="1579">
        <v>2111</v>
      </c>
      <c r="L74" s="1580" t="s">
        <v>1835</v>
      </c>
      <c r="M74" s="1580" t="s">
        <v>1258</v>
      </c>
    </row>
    <row r="75" spans="4:13" ht="45">
      <c r="D75" s="1579">
        <v>2783</v>
      </c>
      <c r="E75" s="1580" t="s">
        <v>1836</v>
      </c>
      <c r="F75" s="1580" t="s">
        <v>476</v>
      </c>
      <c r="G75" s="1581">
        <v>41485</v>
      </c>
      <c r="H75" s="484"/>
      <c r="I75" s="1580" t="s">
        <v>1042</v>
      </c>
      <c r="J75" s="1580" t="s">
        <v>1736</v>
      </c>
      <c r="K75" s="1579">
        <v>2114</v>
      </c>
      <c r="L75" s="1580" t="s">
        <v>1837</v>
      </c>
      <c r="M75" s="1580" t="s">
        <v>1258</v>
      </c>
    </row>
    <row r="76" spans="4:13" ht="15" hidden="1">
      <c r="D76" s="1579">
        <v>2866</v>
      </c>
      <c r="E76" s="1580" t="s">
        <v>1838</v>
      </c>
      <c r="F76" s="1580" t="s">
        <v>177</v>
      </c>
      <c r="G76" s="1581">
        <v>41084</v>
      </c>
      <c r="H76" s="484"/>
      <c r="I76" s="1580" t="s">
        <v>1042</v>
      </c>
      <c r="J76" s="1580" t="s">
        <v>138</v>
      </c>
      <c r="K76" s="1579">
        <v>2126</v>
      </c>
      <c r="L76" s="1580" t="s">
        <v>1839</v>
      </c>
      <c r="M76" s="1580" t="s">
        <v>1716</v>
      </c>
    </row>
    <row r="77" spans="4:13" ht="30" hidden="1">
      <c r="D77" s="1579">
        <v>2904</v>
      </c>
      <c r="E77" s="1580" t="s">
        <v>1840</v>
      </c>
      <c r="F77" s="1580" t="s">
        <v>1841</v>
      </c>
      <c r="G77" s="1581">
        <v>41150</v>
      </c>
      <c r="H77" s="1582">
        <v>41135</v>
      </c>
      <c r="I77" s="1580" t="s">
        <v>1042</v>
      </c>
      <c r="J77" s="1580" t="s">
        <v>1736</v>
      </c>
      <c r="K77" s="1579">
        <v>2134</v>
      </c>
      <c r="L77" s="1580" t="s">
        <v>1842</v>
      </c>
      <c r="M77" s="1580" t="s">
        <v>1716</v>
      </c>
    </row>
    <row r="78" spans="4:13" ht="30" hidden="1">
      <c r="D78" s="1579">
        <v>2937</v>
      </c>
      <c r="E78" s="1580" t="s">
        <v>1843</v>
      </c>
      <c r="F78" s="1580" t="s">
        <v>178</v>
      </c>
      <c r="G78" s="1581">
        <v>41205</v>
      </c>
      <c r="H78" s="484"/>
      <c r="I78" s="1580" t="s">
        <v>1042</v>
      </c>
      <c r="J78" s="1580" t="s">
        <v>138</v>
      </c>
      <c r="K78" s="1579">
        <v>2141</v>
      </c>
      <c r="L78" s="1580" t="s">
        <v>1844</v>
      </c>
      <c r="M78" s="1580" t="s">
        <v>1716</v>
      </c>
    </row>
    <row r="79" spans="4:13" ht="30">
      <c r="D79" s="1579">
        <v>3223</v>
      </c>
      <c r="E79" s="1580" t="s">
        <v>1845</v>
      </c>
      <c r="F79" s="1580" t="s">
        <v>449</v>
      </c>
      <c r="G79" s="1581">
        <v>41423</v>
      </c>
      <c r="H79" s="484"/>
      <c r="I79" s="1580" t="s">
        <v>1042</v>
      </c>
      <c r="J79" s="1580" t="s">
        <v>1736</v>
      </c>
      <c r="K79" s="1579">
        <v>2193</v>
      </c>
      <c r="L79" s="1580" t="s">
        <v>1846</v>
      </c>
      <c r="M79" s="1580" t="s">
        <v>1258</v>
      </c>
    </row>
    <row r="80" spans="4:13" ht="45">
      <c r="D80" s="1579">
        <v>3627</v>
      </c>
      <c r="E80" s="1580" t="s">
        <v>1847</v>
      </c>
      <c r="F80" s="1580" t="s">
        <v>460</v>
      </c>
      <c r="G80" s="1581">
        <v>41485</v>
      </c>
      <c r="H80" s="484"/>
      <c r="I80" s="1580" t="s">
        <v>1042</v>
      </c>
      <c r="J80" s="1580" t="s">
        <v>1736</v>
      </c>
      <c r="K80" s="1579">
        <v>2215</v>
      </c>
      <c r="L80" s="1580" t="s">
        <v>1848</v>
      </c>
      <c r="M80" s="1580" t="s">
        <v>1258</v>
      </c>
    </row>
    <row r="81" spans="4:13" ht="45">
      <c r="D81" s="1579">
        <v>4248</v>
      </c>
      <c r="E81" s="1580" t="s">
        <v>1849</v>
      </c>
      <c r="F81" s="1580" t="s">
        <v>1850</v>
      </c>
      <c r="G81" s="1581">
        <v>41485</v>
      </c>
      <c r="H81" s="484"/>
      <c r="I81" s="1580" t="s">
        <v>1042</v>
      </c>
      <c r="J81" s="1580" t="s">
        <v>1736</v>
      </c>
      <c r="K81" s="1579">
        <v>2245</v>
      </c>
      <c r="L81" s="1580" t="s">
        <v>1851</v>
      </c>
      <c r="M81" s="1580" t="s">
        <v>1258</v>
      </c>
    </row>
    <row r="82" spans="4:13" ht="105" hidden="1">
      <c r="D82" s="1579">
        <v>4950</v>
      </c>
      <c r="E82" s="1580" t="s">
        <v>1852</v>
      </c>
      <c r="F82" s="1580" t="s">
        <v>179</v>
      </c>
      <c r="G82" s="1581">
        <v>41057</v>
      </c>
      <c r="H82" s="1582">
        <v>41007</v>
      </c>
      <c r="I82" s="1580" t="s">
        <v>1042</v>
      </c>
      <c r="J82" s="1580" t="s">
        <v>138</v>
      </c>
      <c r="K82" s="1579">
        <v>2285</v>
      </c>
      <c r="L82" s="1580" t="s">
        <v>1853</v>
      </c>
      <c r="M82" s="1580" t="s">
        <v>1716</v>
      </c>
    </row>
    <row r="83" spans="4:13" ht="15" hidden="1">
      <c r="D83" s="1579">
        <v>5160</v>
      </c>
      <c r="E83" s="1580" t="s">
        <v>1854</v>
      </c>
      <c r="F83" s="1580" t="s">
        <v>181</v>
      </c>
      <c r="G83" s="1581">
        <v>41204</v>
      </c>
      <c r="H83" s="1582">
        <v>41147</v>
      </c>
      <c r="I83" s="1580" t="s">
        <v>1042</v>
      </c>
      <c r="J83" s="1580" t="s">
        <v>138</v>
      </c>
      <c r="K83" s="1579">
        <v>2313</v>
      </c>
      <c r="L83" s="1580" t="s">
        <v>1855</v>
      </c>
      <c r="M83" s="1580" t="s">
        <v>1716</v>
      </c>
    </row>
    <row r="84" spans="4:13" ht="30" hidden="1">
      <c r="D84" s="1579">
        <v>5216</v>
      </c>
      <c r="E84" s="1580" t="s">
        <v>1856</v>
      </c>
      <c r="F84" s="1580" t="s">
        <v>1857</v>
      </c>
      <c r="G84" s="1581">
        <v>41039</v>
      </c>
      <c r="H84" s="484"/>
      <c r="I84" s="1580" t="s">
        <v>1042</v>
      </c>
      <c r="J84" s="1580" t="s">
        <v>138</v>
      </c>
      <c r="K84" s="1579">
        <v>2330</v>
      </c>
      <c r="L84" s="1580" t="s">
        <v>1858</v>
      </c>
      <c r="M84" s="1580" t="s">
        <v>1716</v>
      </c>
    </row>
    <row r="85" spans="4:13" ht="30" hidden="1">
      <c r="D85" s="1579">
        <v>5217</v>
      </c>
      <c r="E85" s="1580" t="s">
        <v>1859</v>
      </c>
      <c r="F85" s="1580" t="s">
        <v>1860</v>
      </c>
      <c r="G85" s="1581">
        <v>41039</v>
      </c>
      <c r="H85" s="484"/>
      <c r="I85" s="1580" t="s">
        <v>1042</v>
      </c>
      <c r="J85" s="1580" t="s">
        <v>138</v>
      </c>
      <c r="K85" s="1579">
        <v>2331</v>
      </c>
      <c r="L85" s="1580" t="s">
        <v>1861</v>
      </c>
      <c r="M85" s="1580" t="s">
        <v>1716</v>
      </c>
    </row>
    <row r="86" spans="4:13" ht="45">
      <c r="D86" s="1579">
        <v>5274</v>
      </c>
      <c r="E86" s="1580" t="s">
        <v>1862</v>
      </c>
      <c r="F86" s="1580" t="s">
        <v>182</v>
      </c>
      <c r="G86" s="1581">
        <v>41393</v>
      </c>
      <c r="H86" s="484"/>
      <c r="I86" s="1580" t="s">
        <v>1042</v>
      </c>
      <c r="J86" s="1580" t="s">
        <v>1736</v>
      </c>
      <c r="K86" s="1579">
        <v>2339</v>
      </c>
      <c r="L86" s="1580" t="s">
        <v>1863</v>
      </c>
      <c r="M86" s="1580" t="s">
        <v>1258</v>
      </c>
    </row>
    <row r="87" spans="4:13" ht="45">
      <c r="D87" s="1579">
        <v>5351</v>
      </c>
      <c r="E87" s="1580" t="s">
        <v>1864</v>
      </c>
      <c r="F87" s="1580" t="s">
        <v>184</v>
      </c>
      <c r="G87" s="1581">
        <v>41212</v>
      </c>
      <c r="H87" s="484"/>
      <c r="I87" s="1580" t="s">
        <v>1042</v>
      </c>
      <c r="J87" s="1580" t="s">
        <v>1736</v>
      </c>
      <c r="K87" s="1579">
        <v>2340</v>
      </c>
      <c r="L87" s="1580" t="s">
        <v>1865</v>
      </c>
      <c r="M87" s="1580" t="s">
        <v>1258</v>
      </c>
    </row>
    <row r="88" spans="4:13" ht="60">
      <c r="D88" s="1579">
        <v>5352</v>
      </c>
      <c r="E88" s="1580" t="s">
        <v>1866</v>
      </c>
      <c r="F88" s="1580" t="s">
        <v>372</v>
      </c>
      <c r="G88" s="1581">
        <v>41182</v>
      </c>
      <c r="H88" s="484"/>
      <c r="I88" s="1580" t="s">
        <v>1042</v>
      </c>
      <c r="J88" s="1580" t="s">
        <v>1736</v>
      </c>
      <c r="K88" s="1579">
        <v>2341</v>
      </c>
      <c r="L88" s="1580" t="s">
        <v>1867</v>
      </c>
      <c r="M88" s="1580" t="s">
        <v>1258</v>
      </c>
    </row>
    <row r="89" spans="4:13" ht="45">
      <c r="D89" s="1579">
        <v>5353</v>
      </c>
      <c r="E89" s="1580" t="s">
        <v>1868</v>
      </c>
      <c r="F89" s="1580" t="s">
        <v>185</v>
      </c>
      <c r="G89" s="1581">
        <v>41182</v>
      </c>
      <c r="H89" s="484"/>
      <c r="I89" s="1580" t="s">
        <v>1042</v>
      </c>
      <c r="J89" s="1580" t="s">
        <v>1736</v>
      </c>
      <c r="K89" s="1579">
        <v>2342</v>
      </c>
      <c r="L89" s="1580" t="s">
        <v>1869</v>
      </c>
      <c r="M89" s="1580" t="s">
        <v>1258</v>
      </c>
    </row>
    <row r="90" spans="4:13" ht="30">
      <c r="D90" s="1579">
        <v>5355</v>
      </c>
      <c r="E90" s="1580" t="s">
        <v>1870</v>
      </c>
      <c r="F90" s="1580" t="s">
        <v>383</v>
      </c>
      <c r="G90" s="1581">
        <v>41182</v>
      </c>
      <c r="H90" s="484"/>
      <c r="I90" s="1580" t="s">
        <v>1042</v>
      </c>
      <c r="J90" s="1580" t="s">
        <v>1736</v>
      </c>
      <c r="K90" s="1579">
        <v>2343</v>
      </c>
      <c r="L90" s="1580" t="s">
        <v>1871</v>
      </c>
      <c r="M90" s="1580" t="s">
        <v>1258</v>
      </c>
    </row>
    <row r="91" spans="4:13" ht="30">
      <c r="D91" s="1579">
        <v>5363</v>
      </c>
      <c r="E91" s="1580" t="s">
        <v>1872</v>
      </c>
      <c r="F91" s="1580" t="s">
        <v>390</v>
      </c>
      <c r="G91" s="1581">
        <v>41182</v>
      </c>
      <c r="H91" s="484"/>
      <c r="I91" s="1580" t="s">
        <v>1042</v>
      </c>
      <c r="J91" s="1580" t="s">
        <v>1736</v>
      </c>
      <c r="K91" s="1579">
        <v>2344</v>
      </c>
      <c r="L91" s="1580" t="s">
        <v>1873</v>
      </c>
      <c r="M91" s="1580" t="s">
        <v>1258</v>
      </c>
    </row>
    <row r="92" spans="4:13" ht="30">
      <c r="D92" s="1579">
        <v>5364</v>
      </c>
      <c r="E92" s="1580" t="s">
        <v>1874</v>
      </c>
      <c r="F92" s="1580" t="s">
        <v>395</v>
      </c>
      <c r="G92" s="1581">
        <v>41182</v>
      </c>
      <c r="H92" s="484"/>
      <c r="I92" s="1580" t="s">
        <v>1042</v>
      </c>
      <c r="J92" s="1580" t="s">
        <v>1736</v>
      </c>
      <c r="K92" s="1579">
        <v>2345</v>
      </c>
      <c r="L92" s="1580" t="s">
        <v>1875</v>
      </c>
      <c r="M92" s="1580" t="s">
        <v>1258</v>
      </c>
    </row>
    <row r="93" spans="4:13" ht="30">
      <c r="D93" s="1579">
        <v>5365</v>
      </c>
      <c r="E93" s="1580" t="s">
        <v>1876</v>
      </c>
      <c r="F93" s="1580" t="s">
        <v>401</v>
      </c>
      <c r="G93" s="1581">
        <v>41182</v>
      </c>
      <c r="H93" s="484"/>
      <c r="I93" s="1580" t="s">
        <v>1042</v>
      </c>
      <c r="J93" s="1580" t="s">
        <v>1736</v>
      </c>
      <c r="K93" s="1579">
        <v>2346</v>
      </c>
      <c r="L93" s="1580" t="s">
        <v>1877</v>
      </c>
      <c r="M93" s="1580" t="s">
        <v>1258</v>
      </c>
    </row>
    <row r="94" spans="4:13" ht="45">
      <c r="D94" s="1579">
        <v>5366</v>
      </c>
      <c r="E94" s="1580" t="s">
        <v>1878</v>
      </c>
      <c r="F94" s="1580" t="s">
        <v>187</v>
      </c>
      <c r="G94" s="1581">
        <v>41182</v>
      </c>
      <c r="H94" s="484"/>
      <c r="I94" s="1580" t="s">
        <v>1042</v>
      </c>
      <c r="J94" s="1580" t="s">
        <v>1736</v>
      </c>
      <c r="K94" s="1579">
        <v>2347</v>
      </c>
      <c r="L94" s="1580" t="s">
        <v>1879</v>
      </c>
      <c r="M94" s="1580" t="s">
        <v>1258</v>
      </c>
    </row>
    <row r="95" spans="4:13" ht="30">
      <c r="D95" s="1579">
        <v>5367</v>
      </c>
      <c r="E95" s="1580" t="s">
        <v>1880</v>
      </c>
      <c r="F95" s="1580" t="s">
        <v>9</v>
      </c>
      <c r="G95" s="1581">
        <v>40899</v>
      </c>
      <c r="H95" s="484"/>
      <c r="I95" s="1580" t="s">
        <v>1042</v>
      </c>
      <c r="J95" s="1580" t="s">
        <v>1736</v>
      </c>
      <c r="K95" s="1579">
        <v>2348</v>
      </c>
      <c r="L95" s="1580" t="s">
        <v>1881</v>
      </c>
      <c r="M95" s="1580" t="s">
        <v>1258</v>
      </c>
    </row>
    <row r="96" spans="4:13" ht="30">
      <c r="D96" s="1579">
        <v>5368</v>
      </c>
      <c r="E96" s="1580" t="s">
        <v>1882</v>
      </c>
      <c r="F96" s="1580" t="s">
        <v>406</v>
      </c>
      <c r="G96" s="1581">
        <v>41182</v>
      </c>
      <c r="H96" s="484"/>
      <c r="I96" s="1580" t="s">
        <v>1042</v>
      </c>
      <c r="J96" s="1580" t="s">
        <v>1736</v>
      </c>
      <c r="K96" s="1579">
        <v>2349</v>
      </c>
      <c r="L96" s="1580" t="s">
        <v>1883</v>
      </c>
      <c r="M96" s="1580" t="s">
        <v>1258</v>
      </c>
    </row>
    <row r="97" spans="4:13" ht="30">
      <c r="D97" s="1579">
        <v>5369</v>
      </c>
      <c r="E97" s="1580" t="s">
        <v>1884</v>
      </c>
      <c r="F97" s="1580" t="s">
        <v>411</v>
      </c>
      <c r="G97" s="1581">
        <v>41182</v>
      </c>
      <c r="H97" s="484"/>
      <c r="I97" s="1580" t="s">
        <v>1042</v>
      </c>
      <c r="J97" s="1580" t="s">
        <v>1736</v>
      </c>
      <c r="K97" s="1579">
        <v>2350</v>
      </c>
      <c r="L97" s="1580" t="s">
        <v>1885</v>
      </c>
      <c r="M97" s="1580" t="s">
        <v>1258</v>
      </c>
    </row>
    <row r="98" spans="4:13" ht="30">
      <c r="D98" s="1579">
        <v>5370</v>
      </c>
      <c r="E98" s="1580" t="s">
        <v>1886</v>
      </c>
      <c r="F98" s="1580" t="s">
        <v>188</v>
      </c>
      <c r="G98" s="1581">
        <v>41182</v>
      </c>
      <c r="H98" s="484"/>
      <c r="I98" s="1580" t="s">
        <v>1042</v>
      </c>
      <c r="J98" s="1580" t="s">
        <v>1736</v>
      </c>
      <c r="K98" s="1579">
        <v>2351</v>
      </c>
      <c r="L98" s="1580" t="s">
        <v>1887</v>
      </c>
      <c r="M98" s="1580" t="s">
        <v>1258</v>
      </c>
    </row>
    <row r="99" spans="4:13" ht="30">
      <c r="D99" s="1579">
        <v>5371</v>
      </c>
      <c r="E99" s="1580" t="s">
        <v>1888</v>
      </c>
      <c r="F99" s="1580" t="s">
        <v>420</v>
      </c>
      <c r="G99" s="1581">
        <v>41182</v>
      </c>
      <c r="H99" s="484"/>
      <c r="I99" s="1580" t="s">
        <v>1042</v>
      </c>
      <c r="J99" s="1580" t="s">
        <v>1736</v>
      </c>
      <c r="K99" s="1579">
        <v>2352</v>
      </c>
      <c r="L99" s="1580" t="s">
        <v>1889</v>
      </c>
      <c r="M99" s="1580" t="s">
        <v>1258</v>
      </c>
    </row>
    <row r="100" spans="4:13" ht="30">
      <c r="D100" s="1579">
        <v>5373</v>
      </c>
      <c r="E100" s="1580" t="s">
        <v>1890</v>
      </c>
      <c r="F100" s="1580" t="s">
        <v>427</v>
      </c>
      <c r="G100" s="1581">
        <v>41182</v>
      </c>
      <c r="H100" s="484"/>
      <c r="I100" s="1580" t="s">
        <v>1042</v>
      </c>
      <c r="J100" s="1580" t="s">
        <v>1736</v>
      </c>
      <c r="K100" s="1579">
        <v>2353</v>
      </c>
      <c r="L100" s="1580" t="s">
        <v>1891</v>
      </c>
      <c r="M100" s="1580" t="s">
        <v>1258</v>
      </c>
    </row>
    <row r="101" spans="4:13" ht="45">
      <c r="D101" s="1579">
        <v>5377</v>
      </c>
      <c r="E101" s="1580" t="s">
        <v>1892</v>
      </c>
      <c r="F101" s="1580" t="s">
        <v>371</v>
      </c>
      <c r="G101" s="1581">
        <v>41393</v>
      </c>
      <c r="H101" s="484"/>
      <c r="I101" s="1580" t="s">
        <v>1042</v>
      </c>
      <c r="J101" s="1580" t="s">
        <v>1736</v>
      </c>
      <c r="K101" s="1579">
        <v>2355</v>
      </c>
      <c r="L101" s="1580" t="s">
        <v>1893</v>
      </c>
      <c r="M101" s="1580" t="s">
        <v>1258</v>
      </c>
    </row>
    <row r="102" spans="4:13" ht="45">
      <c r="D102" s="1579">
        <v>5378</v>
      </c>
      <c r="E102" s="1580" t="s">
        <v>1894</v>
      </c>
      <c r="F102" s="1580" t="s">
        <v>302</v>
      </c>
      <c r="G102" s="1581">
        <v>41393</v>
      </c>
      <c r="H102" s="484"/>
      <c r="I102" s="1580" t="s">
        <v>1042</v>
      </c>
      <c r="J102" s="1580" t="s">
        <v>1736</v>
      </c>
      <c r="K102" s="1579">
        <v>2356</v>
      </c>
      <c r="L102" s="1580" t="s">
        <v>1895</v>
      </c>
      <c r="M102" s="1580" t="s">
        <v>1258</v>
      </c>
    </row>
    <row r="103" spans="4:13" ht="45">
      <c r="D103" s="1579">
        <v>5379</v>
      </c>
      <c r="E103" s="1580" t="s">
        <v>1896</v>
      </c>
      <c r="F103" s="1580" t="s">
        <v>339</v>
      </c>
      <c r="G103" s="1581">
        <v>41212</v>
      </c>
      <c r="H103" s="484"/>
      <c r="I103" s="1580" t="s">
        <v>1042</v>
      </c>
      <c r="J103" s="1580" t="s">
        <v>1736</v>
      </c>
      <c r="K103" s="1579">
        <v>2357</v>
      </c>
      <c r="L103" s="1580" t="s">
        <v>1897</v>
      </c>
      <c r="M103" s="1580" t="s">
        <v>1258</v>
      </c>
    </row>
    <row r="104" spans="4:13" ht="45">
      <c r="D104" s="1579">
        <v>5381</v>
      </c>
      <c r="E104" s="1580" t="s">
        <v>1898</v>
      </c>
      <c r="F104" s="1580" t="s">
        <v>279</v>
      </c>
      <c r="G104" s="1581">
        <v>41152</v>
      </c>
      <c r="H104" s="484"/>
      <c r="I104" s="1580" t="s">
        <v>1042</v>
      </c>
      <c r="J104" s="1580" t="s">
        <v>1736</v>
      </c>
      <c r="K104" s="1579">
        <v>2358</v>
      </c>
      <c r="L104" s="1580" t="s">
        <v>1899</v>
      </c>
      <c r="M104" s="1580" t="s">
        <v>1258</v>
      </c>
    </row>
    <row r="105" spans="4:13" ht="45">
      <c r="D105" s="1579">
        <v>5382</v>
      </c>
      <c r="E105" s="1580" t="s">
        <v>1900</v>
      </c>
      <c r="F105" s="1580" t="s">
        <v>308</v>
      </c>
      <c r="G105" s="1581">
        <v>41101</v>
      </c>
      <c r="H105" s="484"/>
      <c r="I105" s="1580" t="s">
        <v>1042</v>
      </c>
      <c r="J105" s="1580" t="s">
        <v>1736</v>
      </c>
      <c r="K105" s="1579">
        <v>2359</v>
      </c>
      <c r="L105" s="1580" t="s">
        <v>1901</v>
      </c>
      <c r="M105" s="1580" t="s">
        <v>1258</v>
      </c>
    </row>
    <row r="106" spans="4:13" ht="45">
      <c r="D106" s="1579">
        <v>5384</v>
      </c>
      <c r="E106" s="1580" t="s">
        <v>1902</v>
      </c>
      <c r="F106" s="1580" t="s">
        <v>328</v>
      </c>
      <c r="G106" s="1581">
        <v>41423</v>
      </c>
      <c r="H106" s="484"/>
      <c r="I106" s="1580" t="s">
        <v>1042</v>
      </c>
      <c r="J106" s="1580" t="s">
        <v>1736</v>
      </c>
      <c r="K106" s="1579">
        <v>2360</v>
      </c>
      <c r="L106" s="1580" t="s">
        <v>1903</v>
      </c>
      <c r="M106" s="1580" t="s">
        <v>1258</v>
      </c>
    </row>
    <row r="107" spans="4:13" ht="45">
      <c r="D107" s="1579">
        <v>5385</v>
      </c>
      <c r="E107" s="1580" t="s">
        <v>1904</v>
      </c>
      <c r="F107" s="1580" t="s">
        <v>333</v>
      </c>
      <c r="G107" s="1581">
        <v>41379</v>
      </c>
      <c r="H107" s="484"/>
      <c r="I107" s="1580" t="s">
        <v>1042</v>
      </c>
      <c r="J107" s="1580" t="s">
        <v>1736</v>
      </c>
      <c r="K107" s="1579">
        <v>2361</v>
      </c>
      <c r="L107" s="1580" t="s">
        <v>1905</v>
      </c>
      <c r="M107" s="1580" t="s">
        <v>1258</v>
      </c>
    </row>
    <row r="108" spans="4:13" ht="45">
      <c r="D108" s="1579">
        <v>5386</v>
      </c>
      <c r="E108" s="1580" t="s">
        <v>1906</v>
      </c>
      <c r="F108" s="1580" t="s">
        <v>296</v>
      </c>
      <c r="G108" s="1581">
        <v>41212</v>
      </c>
      <c r="H108" s="484"/>
      <c r="I108" s="1580" t="s">
        <v>1042</v>
      </c>
      <c r="J108" s="1580" t="s">
        <v>1736</v>
      </c>
      <c r="K108" s="1579">
        <v>2362</v>
      </c>
      <c r="L108" s="1580" t="s">
        <v>1907</v>
      </c>
      <c r="M108" s="1580" t="s">
        <v>1258</v>
      </c>
    </row>
    <row r="109" spans="4:13" ht="15" hidden="1">
      <c r="D109" s="1579">
        <v>5697</v>
      </c>
      <c r="E109" s="1580" t="s">
        <v>1908</v>
      </c>
      <c r="F109" s="1580" t="s">
        <v>190</v>
      </c>
      <c r="G109" s="1581">
        <v>41143</v>
      </c>
      <c r="H109" s="1582">
        <v>41128</v>
      </c>
      <c r="I109" s="1580" t="s">
        <v>1042</v>
      </c>
      <c r="J109" s="1580" t="s">
        <v>138</v>
      </c>
      <c r="K109" s="1579">
        <v>2382</v>
      </c>
      <c r="L109" s="1580" t="s">
        <v>1909</v>
      </c>
      <c r="M109" s="1580" t="s">
        <v>1716</v>
      </c>
    </row>
    <row r="110" spans="4:13" ht="30" hidden="1">
      <c r="D110" s="1579">
        <v>5707</v>
      </c>
      <c r="E110" s="1580" t="s">
        <v>1910</v>
      </c>
      <c r="F110" s="1580" t="s">
        <v>191</v>
      </c>
      <c r="G110" s="1581">
        <v>41235</v>
      </c>
      <c r="H110" s="1582">
        <v>41207</v>
      </c>
      <c r="I110" s="1580" t="s">
        <v>1042</v>
      </c>
      <c r="J110" s="1580" t="s">
        <v>138</v>
      </c>
      <c r="K110" s="1579">
        <v>2386</v>
      </c>
      <c r="L110" s="1580" t="s">
        <v>1911</v>
      </c>
      <c r="M110" s="1580" t="s">
        <v>1716</v>
      </c>
    </row>
    <row r="111" spans="4:13" ht="15" hidden="1">
      <c r="D111" s="1579">
        <v>6072</v>
      </c>
      <c r="E111" s="1580" t="s">
        <v>1912</v>
      </c>
      <c r="F111" s="1580" t="s">
        <v>1913</v>
      </c>
      <c r="G111" s="1581">
        <v>41204</v>
      </c>
      <c r="H111" s="1582">
        <v>41164</v>
      </c>
      <c r="I111" s="1580" t="s">
        <v>1042</v>
      </c>
      <c r="J111" s="1580" t="s">
        <v>138</v>
      </c>
      <c r="K111" s="1579">
        <v>2407</v>
      </c>
      <c r="L111" s="1580" t="s">
        <v>1914</v>
      </c>
      <c r="M111" s="1580" t="s">
        <v>1716</v>
      </c>
    </row>
    <row r="112" spans="4:13" ht="30" hidden="1">
      <c r="D112" s="1579">
        <v>6585</v>
      </c>
      <c r="E112" s="1580" t="s">
        <v>1915</v>
      </c>
      <c r="F112" s="1580" t="s">
        <v>193</v>
      </c>
      <c r="G112" s="1581">
        <v>41082</v>
      </c>
      <c r="H112" s="1582">
        <v>41078</v>
      </c>
      <c r="I112" s="1580" t="s">
        <v>1042</v>
      </c>
      <c r="J112" s="1580" t="s">
        <v>138</v>
      </c>
      <c r="K112" s="1579">
        <v>2444</v>
      </c>
      <c r="L112" s="1580" t="s">
        <v>1916</v>
      </c>
      <c r="M112" s="1580" t="s">
        <v>1716</v>
      </c>
    </row>
    <row r="113" spans="4:13" ht="30" hidden="1">
      <c r="D113" s="1579">
        <v>6587</v>
      </c>
      <c r="E113" s="1580" t="s">
        <v>1917</v>
      </c>
      <c r="F113" s="1580" t="s">
        <v>194</v>
      </c>
      <c r="G113" s="1581">
        <v>41021</v>
      </c>
      <c r="H113" s="484"/>
      <c r="I113" s="1580" t="s">
        <v>1042</v>
      </c>
      <c r="J113" s="1580" t="s">
        <v>138</v>
      </c>
      <c r="K113" s="1579">
        <v>2445</v>
      </c>
      <c r="L113" s="1580" t="s">
        <v>1918</v>
      </c>
      <c r="M113" s="1580" t="s">
        <v>1716</v>
      </c>
    </row>
    <row r="114" spans="4:13" ht="30" hidden="1">
      <c r="D114" s="1579">
        <v>6600</v>
      </c>
      <c r="E114" s="1580" t="s">
        <v>1919</v>
      </c>
      <c r="F114" s="1580" t="s">
        <v>195</v>
      </c>
      <c r="G114" s="1581">
        <v>41149</v>
      </c>
      <c r="H114" s="484"/>
      <c r="I114" s="1580" t="s">
        <v>1042</v>
      </c>
      <c r="J114" s="1580" t="s">
        <v>138</v>
      </c>
      <c r="K114" s="1579">
        <v>2452</v>
      </c>
      <c r="L114" s="1580" t="s">
        <v>1920</v>
      </c>
      <c r="M114" s="1580" t="s">
        <v>1716</v>
      </c>
    </row>
    <row r="115" spans="4:13" ht="60">
      <c r="D115" s="1579">
        <v>6609</v>
      </c>
      <c r="E115" s="1580" t="s">
        <v>1921</v>
      </c>
      <c r="F115" s="1580" t="s">
        <v>321</v>
      </c>
      <c r="G115" s="1581">
        <v>41411</v>
      </c>
      <c r="H115" s="484"/>
      <c r="I115" s="1580" t="s">
        <v>1042</v>
      </c>
      <c r="J115" s="1580" t="s">
        <v>1736</v>
      </c>
      <c r="K115" s="1579">
        <v>2455</v>
      </c>
      <c r="L115" s="1580" t="s">
        <v>1922</v>
      </c>
      <c r="M115" s="1580" t="s">
        <v>1258</v>
      </c>
    </row>
    <row r="116" spans="4:13" ht="45">
      <c r="D116" s="1579">
        <v>6610</v>
      </c>
      <c r="E116" s="1580" t="s">
        <v>1923</v>
      </c>
      <c r="F116" s="1580" t="s">
        <v>315</v>
      </c>
      <c r="G116" s="1581">
        <v>41243</v>
      </c>
      <c r="H116" s="484"/>
      <c r="I116" s="1580" t="s">
        <v>1042</v>
      </c>
      <c r="J116" s="1580" t="s">
        <v>1736</v>
      </c>
      <c r="K116" s="1579">
        <v>2456</v>
      </c>
      <c r="L116" s="1580" t="s">
        <v>1924</v>
      </c>
      <c r="M116" s="1580" t="s">
        <v>1258</v>
      </c>
    </row>
    <row r="117" spans="4:13" ht="30" hidden="1">
      <c r="D117" s="1579">
        <v>6611</v>
      </c>
      <c r="E117" s="1580" t="s">
        <v>1925</v>
      </c>
      <c r="F117" s="1580" t="s">
        <v>197</v>
      </c>
      <c r="G117" s="1581">
        <v>40943</v>
      </c>
      <c r="H117" s="484"/>
      <c r="I117" s="1580" t="s">
        <v>1042</v>
      </c>
      <c r="J117" s="1580" t="s">
        <v>138</v>
      </c>
      <c r="K117" s="1579">
        <v>2457</v>
      </c>
      <c r="L117" s="1580" t="s">
        <v>1926</v>
      </c>
      <c r="M117" s="1580" t="s">
        <v>1716</v>
      </c>
    </row>
    <row r="118" spans="4:13" ht="30" hidden="1">
      <c r="D118" s="1579">
        <v>6612</v>
      </c>
      <c r="E118" s="1580" t="s">
        <v>1927</v>
      </c>
      <c r="F118" s="1580" t="s">
        <v>198</v>
      </c>
      <c r="G118" s="1581">
        <v>41082</v>
      </c>
      <c r="H118" s="1582">
        <v>41078</v>
      </c>
      <c r="I118" s="1580" t="s">
        <v>1042</v>
      </c>
      <c r="J118" s="1580" t="s">
        <v>1736</v>
      </c>
      <c r="K118" s="1579">
        <v>2458</v>
      </c>
      <c r="L118" s="1580" t="s">
        <v>1928</v>
      </c>
      <c r="M118" s="1580" t="s">
        <v>1716</v>
      </c>
    </row>
    <row r="119" spans="4:13" ht="30">
      <c r="D119" s="1579">
        <v>6896</v>
      </c>
      <c r="E119" s="1580" t="s">
        <v>1929</v>
      </c>
      <c r="F119" s="1580" t="s">
        <v>314</v>
      </c>
      <c r="G119" s="1581">
        <v>41182</v>
      </c>
      <c r="H119" s="484"/>
      <c r="I119" s="1580" t="s">
        <v>1042</v>
      </c>
      <c r="J119" s="1580" t="s">
        <v>1736</v>
      </c>
      <c r="K119" s="1579">
        <v>2479</v>
      </c>
      <c r="L119" s="1580" t="s">
        <v>1930</v>
      </c>
      <c r="M119" s="1580" t="s">
        <v>1258</v>
      </c>
    </row>
    <row r="120" spans="4:13" ht="45">
      <c r="D120" s="1579">
        <v>6897</v>
      </c>
      <c r="E120" s="1580" t="s">
        <v>1931</v>
      </c>
      <c r="F120" s="1580" t="s">
        <v>1932</v>
      </c>
      <c r="G120" s="1581">
        <v>41182</v>
      </c>
      <c r="H120" s="484"/>
      <c r="I120" s="1580" t="s">
        <v>1042</v>
      </c>
      <c r="J120" s="1580" t="s">
        <v>1736</v>
      </c>
      <c r="K120" s="1579">
        <v>2480</v>
      </c>
      <c r="L120" s="1580" t="s">
        <v>1933</v>
      </c>
      <c r="M120" s="1580" t="s">
        <v>1258</v>
      </c>
    </row>
    <row r="121" spans="4:13" ht="30">
      <c r="D121" s="1579">
        <v>6898</v>
      </c>
      <c r="E121" s="1580" t="s">
        <v>1934</v>
      </c>
      <c r="F121" s="1580" t="s">
        <v>361</v>
      </c>
      <c r="G121" s="1581">
        <v>41182</v>
      </c>
      <c r="H121" s="484"/>
      <c r="I121" s="1580" t="s">
        <v>1042</v>
      </c>
      <c r="J121" s="1580" t="s">
        <v>1736</v>
      </c>
      <c r="K121" s="1579">
        <v>2481</v>
      </c>
      <c r="L121" s="1580" t="s">
        <v>1935</v>
      </c>
      <c r="M121" s="1580" t="s">
        <v>1258</v>
      </c>
    </row>
    <row r="122" spans="4:13" ht="30">
      <c r="D122" s="1579">
        <v>7016</v>
      </c>
      <c r="E122" s="1580" t="s">
        <v>1936</v>
      </c>
      <c r="F122" s="1580" t="s">
        <v>432</v>
      </c>
      <c r="G122" s="1581">
        <v>41182</v>
      </c>
      <c r="H122" s="484"/>
      <c r="I122" s="1580" t="s">
        <v>1042</v>
      </c>
      <c r="J122" s="1580" t="s">
        <v>1736</v>
      </c>
      <c r="K122" s="1579">
        <v>2496</v>
      </c>
      <c r="L122" s="1580" t="s">
        <v>1937</v>
      </c>
      <c r="M122" s="1580" t="s">
        <v>1258</v>
      </c>
    </row>
    <row r="123" spans="4:13" ht="30" hidden="1">
      <c r="D123" s="1579">
        <v>7019</v>
      </c>
      <c r="E123" s="1580" t="s">
        <v>1938</v>
      </c>
      <c r="F123" s="1580" t="s">
        <v>200</v>
      </c>
      <c r="G123" s="1581">
        <v>41214</v>
      </c>
      <c r="H123" s="1582">
        <v>41214</v>
      </c>
      <c r="I123" s="1580" t="s">
        <v>1042</v>
      </c>
      <c r="J123" s="1580" t="s">
        <v>138</v>
      </c>
      <c r="K123" s="1579">
        <v>2497</v>
      </c>
      <c r="L123" s="1580" t="s">
        <v>1939</v>
      </c>
      <c r="M123" s="1580" t="s">
        <v>1716</v>
      </c>
    </row>
    <row r="124" spans="4:13" ht="30">
      <c r="D124" s="1579">
        <v>7371</v>
      </c>
      <c r="E124" s="1580" t="s">
        <v>1940</v>
      </c>
      <c r="F124" s="1580" t="s">
        <v>201</v>
      </c>
      <c r="G124" s="1581">
        <v>41485</v>
      </c>
      <c r="H124" s="484"/>
      <c r="I124" s="1580" t="s">
        <v>1042</v>
      </c>
      <c r="J124" s="1580" t="s">
        <v>1736</v>
      </c>
      <c r="K124" s="1579">
        <v>2527</v>
      </c>
      <c r="L124" s="1580" t="s">
        <v>1941</v>
      </c>
      <c r="M124" s="1580" t="s">
        <v>1258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workbookViewId="0"/>
  </sheetViews>
  <sheetFormatPr defaultColWidth="9.140625" defaultRowHeight="12.75"/>
  <cols>
    <col min="1" max="1" width="1.140625" style="436" customWidth="1"/>
    <col min="2" max="2" width="47.140625" style="436" bestFit="1" customWidth="1"/>
    <col min="3" max="3" width="27" style="436" customWidth="1"/>
    <col min="4" max="4" width="34.7109375" style="436" bestFit="1" customWidth="1"/>
    <col min="5" max="5" width="15" style="436" bestFit="1" customWidth="1"/>
    <col min="6" max="6" width="43.28515625" style="436" bestFit="1" customWidth="1"/>
    <col min="7" max="7" width="15.140625" style="436" bestFit="1" customWidth="1"/>
    <col min="8" max="16384" width="9.140625" style="436"/>
  </cols>
  <sheetData>
    <row r="1" spans="2:7">
      <c r="C1" s="437"/>
      <c r="D1" s="438"/>
    </row>
    <row r="3" spans="2:7">
      <c r="B3" s="439" t="s">
        <v>1942</v>
      </c>
      <c r="G3" s="437" t="s">
        <v>1943</v>
      </c>
    </row>
    <row r="4" spans="2:7">
      <c r="B4" s="448" t="s">
        <v>1944</v>
      </c>
      <c r="C4" s="448" t="s">
        <v>1945</v>
      </c>
      <c r="D4" s="448" t="s">
        <v>935</v>
      </c>
      <c r="E4" s="437"/>
      <c r="F4" s="1583" t="s">
        <v>1946</v>
      </c>
      <c r="G4" s="1584" t="e">
        <f>(C10*G7)/G5</f>
        <v>#REF!</v>
      </c>
    </row>
    <row r="5" spans="2:7">
      <c r="B5" s="1585" t="s">
        <v>1947</v>
      </c>
      <c r="C5" s="1586"/>
      <c r="D5" s="1587"/>
      <c r="F5" s="1583" t="s">
        <v>1948</v>
      </c>
      <c r="G5" s="1588" t="e">
        <f>(((1+C7)^G6)*C7)/(((1+C7)^G6)-1)</f>
        <v>#REF!</v>
      </c>
    </row>
    <row r="6" spans="2:7">
      <c r="B6" s="1585" t="s">
        <v>1949</v>
      </c>
      <c r="C6" s="1586"/>
      <c r="D6" s="1587"/>
      <c r="F6" s="1583" t="s">
        <v>1950</v>
      </c>
      <c r="G6" s="1589" t="e">
        <f>G7/(C8*C9)</f>
        <v>#REF!</v>
      </c>
    </row>
    <row r="7" spans="2:7">
      <c r="B7" s="1585" t="s">
        <v>1951</v>
      </c>
      <c r="C7" s="1590">
        <f>'BD-NET'!Q182</f>
        <v>3.7699999999999997E-2</v>
      </c>
      <c r="D7" s="1587"/>
      <c r="F7" s="1583" t="s">
        <v>1952</v>
      </c>
      <c r="G7" s="1591">
        <f>12*(20000*C6+10000*C5)</f>
        <v>0</v>
      </c>
    </row>
    <row r="8" spans="2:7">
      <c r="B8" s="1585" t="s">
        <v>1953</v>
      </c>
      <c r="C8" s="1592" t="e">
        <f>C24</f>
        <v>#REF!</v>
      </c>
      <c r="D8" s="1593" t="s">
        <v>1954</v>
      </c>
    </row>
    <row r="9" spans="2:7">
      <c r="B9" s="1585" t="s">
        <v>1955</v>
      </c>
      <c r="C9" s="1594"/>
      <c r="D9" s="1587"/>
    </row>
    <row r="10" spans="2:7">
      <c r="B10" s="1585" t="s">
        <v>1956</v>
      </c>
      <c r="C10" s="1595" t="e">
        <f>F14</f>
        <v>#REF!</v>
      </c>
      <c r="D10" s="1587"/>
    </row>
    <row r="12" spans="2:7">
      <c r="B12" s="448" t="s">
        <v>1957</v>
      </c>
      <c r="C12" s="448" t="s">
        <v>802</v>
      </c>
      <c r="D12" s="448" t="s">
        <v>1958</v>
      </c>
      <c r="E12" s="448" t="s">
        <v>1959</v>
      </c>
      <c r="F12" s="448" t="s">
        <v>1960</v>
      </c>
    </row>
    <row r="13" spans="2:7" ht="13.5" thickBot="1">
      <c r="B13" s="1585" t="s">
        <v>1961</v>
      </c>
      <c r="C13" s="1596" t="e">
        <f>C38</f>
        <v>#REF!</v>
      </c>
      <c r="D13" s="1585"/>
      <c r="E13" s="1585"/>
      <c r="F13" s="1597"/>
    </row>
    <row r="14" spans="2:7" ht="13.5" thickBot="1">
      <c r="B14" s="1585" t="s">
        <v>1962</v>
      </c>
      <c r="C14" s="1596" t="e">
        <f>(C32+E55)*($C$38/$C$35)</f>
        <v>#REF!</v>
      </c>
      <c r="D14" s="1598" t="e">
        <f>$C$17*(C14/($C$14+$C$15+$C$16))</f>
        <v>#REF!</v>
      </c>
      <c r="E14" s="1599" t="e">
        <f>C14-D14</f>
        <v>#REF!</v>
      </c>
      <c r="F14" s="470" t="e">
        <f>E14/$C$13</f>
        <v>#REF!</v>
      </c>
      <c r="G14" s="471" t="s">
        <v>1963</v>
      </c>
    </row>
    <row r="15" spans="2:7">
      <c r="B15" s="1585" t="s">
        <v>1964</v>
      </c>
      <c r="C15" s="1596" t="e">
        <f>C27*($C$38/$C$35)</f>
        <v>#REF!</v>
      </c>
      <c r="D15" s="1598" t="e">
        <f>$C$17*(C15/($C$14+$C$15+$C$16))</f>
        <v>#REF!</v>
      </c>
      <c r="E15" s="1598" t="e">
        <f>C15-D15</f>
        <v>#REF!</v>
      </c>
      <c r="F15" s="1600" t="e">
        <f>E15/$C$13</f>
        <v>#REF!</v>
      </c>
    </row>
    <row r="16" spans="2:7">
      <c r="B16" s="1585" t="s">
        <v>1965</v>
      </c>
      <c r="C16" s="1596" t="e">
        <f>(C33+D54)*($C$38/$C$35)</f>
        <v>#REF!</v>
      </c>
      <c r="D16" s="1598" t="e">
        <f>$C$17*(C16/($C$14+$C$15+$C$16))</f>
        <v>#REF!</v>
      </c>
      <c r="E16" s="1598" t="e">
        <f>C16-D16</f>
        <v>#REF!</v>
      </c>
      <c r="F16" s="1601" t="e">
        <f>E16/$C$13</f>
        <v>#REF!</v>
      </c>
    </row>
    <row r="17" spans="2:6">
      <c r="B17" s="1585" t="s">
        <v>1966</v>
      </c>
      <c r="C17" s="1596" t="e">
        <f>C39</f>
        <v>#REF!</v>
      </c>
      <c r="D17" s="1585"/>
      <c r="E17" s="1585"/>
      <c r="F17" s="1602" t="e">
        <f>C17/C13</f>
        <v>#REF!</v>
      </c>
    </row>
    <row r="18" spans="2:6">
      <c r="D18" s="453" t="e">
        <f>SUM(D14:D17)</f>
        <v>#REF!</v>
      </c>
      <c r="F18" s="1603" t="e">
        <f>SUM(F14:F17)</f>
        <v>#REF!</v>
      </c>
    </row>
    <row r="19" spans="2:6">
      <c r="B19" s="444" t="s">
        <v>1967</v>
      </c>
    </row>
    <row r="20" spans="2:6">
      <c r="B20" s="444"/>
    </row>
    <row r="21" spans="2:6">
      <c r="B21" s="1604" t="s">
        <v>1968</v>
      </c>
      <c r="C21" s="1605" t="e">
        <f>LnkTxtPBCAOMCAA</f>
        <v>#NAME?</v>
      </c>
    </row>
    <row r="22" spans="2:6">
      <c r="B22" s="445" t="s">
        <v>1969</v>
      </c>
      <c r="C22" s="446">
        <v>1.15E-2</v>
      </c>
    </row>
    <row r="23" spans="2:6">
      <c r="B23" s="445" t="s">
        <v>1970</v>
      </c>
      <c r="C23" s="446">
        <v>0</v>
      </c>
    </row>
    <row r="24" spans="2:6">
      <c r="B24" s="1604" t="s">
        <v>1971</v>
      </c>
      <c r="C24" s="1605" t="e">
        <f>#REF!+#REF!</f>
        <v>#REF!</v>
      </c>
    </row>
    <row r="27" spans="2:6">
      <c r="B27" s="1604" t="s">
        <v>1972</v>
      </c>
      <c r="C27" s="1605" t="e">
        <f>#REF!</f>
        <v>#REF!</v>
      </c>
    </row>
    <row r="28" spans="2:6">
      <c r="B28" s="445" t="s">
        <v>1973</v>
      </c>
      <c r="C28" s="451" t="e">
        <f>#REF!</f>
        <v>#REF!</v>
      </c>
    </row>
    <row r="29" spans="2:6">
      <c r="B29" s="445" t="s">
        <v>1974</v>
      </c>
      <c r="C29" s="451"/>
    </row>
    <row r="30" spans="2:6">
      <c r="B30" s="445" t="s">
        <v>1975</v>
      </c>
      <c r="C30" s="451" t="e">
        <f>#REF!</f>
        <v>#REF!</v>
      </c>
    </row>
    <row r="31" spans="2:6">
      <c r="B31" s="1604" t="s">
        <v>1976</v>
      </c>
      <c r="C31" s="1605" t="e">
        <f>#REF!</f>
        <v>#REF!</v>
      </c>
    </row>
    <row r="32" spans="2:6">
      <c r="B32" s="445" t="s">
        <v>1977</v>
      </c>
      <c r="C32" s="451" t="e">
        <f>#REF!</f>
        <v>#REF!</v>
      </c>
    </row>
    <row r="33" spans="2:4">
      <c r="B33" s="445" t="s">
        <v>1978</v>
      </c>
      <c r="C33" s="451" t="e">
        <f>#REF!</f>
        <v>#REF!</v>
      </c>
    </row>
    <row r="34" spans="2:4">
      <c r="B34" s="445" t="s">
        <v>1979</v>
      </c>
      <c r="C34" s="451" t="e">
        <f>#REF!</f>
        <v>#REF!</v>
      </c>
    </row>
    <row r="35" spans="2:4">
      <c r="B35" s="1604" t="s">
        <v>1968</v>
      </c>
      <c r="C35" s="1605" t="e">
        <f>C21</f>
        <v>#NAME?</v>
      </c>
    </row>
    <row r="36" spans="2:4">
      <c r="B36" s="445" t="s">
        <v>1969</v>
      </c>
      <c r="C36" s="446">
        <f>C22</f>
        <v>1.15E-2</v>
      </c>
    </row>
    <row r="37" spans="2:4">
      <c r="B37" s="445" t="s">
        <v>1970</v>
      </c>
      <c r="C37" s="446">
        <f>C23</f>
        <v>0</v>
      </c>
    </row>
    <row r="38" spans="2:4">
      <c r="B38" s="1604" t="s">
        <v>1971</v>
      </c>
      <c r="C38" s="1605" t="e">
        <f>C24</f>
        <v>#REF!</v>
      </c>
    </row>
    <row r="39" spans="2:4">
      <c r="B39" s="445" t="s">
        <v>1980</v>
      </c>
      <c r="C39" s="451" t="e">
        <f>#REF!</f>
        <v>#REF!</v>
      </c>
    </row>
    <row r="40" spans="2:4">
      <c r="B40" s="1606" t="s">
        <v>1981</v>
      </c>
      <c r="C40" s="1607" t="e">
        <f>#REF!</f>
        <v>#REF!</v>
      </c>
    </row>
    <row r="42" spans="2:4" ht="15" customHeight="1"/>
    <row r="43" spans="2:4">
      <c r="B43" s="444"/>
    </row>
    <row r="45" spans="2:4">
      <c r="B45" s="461"/>
      <c r="C45" s="461"/>
      <c r="D45" s="464"/>
    </row>
    <row r="46" spans="2:4">
      <c r="B46" s="462"/>
      <c r="C46" s="462"/>
    </row>
    <row r="47" spans="2:4">
      <c r="B47" s="65"/>
      <c r="C47" s="463"/>
      <c r="D47" s="465"/>
    </row>
    <row r="48" spans="2:4">
      <c r="B48" s="65"/>
      <c r="C48" s="463"/>
      <c r="D48" s="465"/>
    </row>
    <row r="49" spans="2:6">
      <c r="B49" s="65"/>
      <c r="C49" s="463"/>
      <c r="D49" s="465"/>
    </row>
    <row r="50" spans="2:6">
      <c r="B50" s="65"/>
      <c r="C50" s="463"/>
      <c r="D50" s="455"/>
    </row>
    <row r="51" spans="2:6">
      <c r="B51" s="65"/>
      <c r="C51" s="463"/>
      <c r="D51" s="466"/>
      <c r="E51" s="455"/>
    </row>
    <row r="52" spans="2:6">
      <c r="B52" s="65"/>
      <c r="C52" s="463"/>
      <c r="D52" s="466"/>
      <c r="E52" s="456"/>
      <c r="F52" s="457"/>
    </row>
    <row r="53" spans="2:6">
      <c r="B53" s="65"/>
      <c r="C53" s="463"/>
      <c r="D53" s="466"/>
      <c r="E53" s="456"/>
      <c r="F53" s="454"/>
    </row>
    <row r="54" spans="2:6">
      <c r="B54" s="467"/>
      <c r="C54" s="468"/>
      <c r="D54" s="469"/>
      <c r="E54" s="456"/>
      <c r="F54" s="454"/>
    </row>
    <row r="55" spans="2:6">
      <c r="E55" s="458"/>
      <c r="F55" s="45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workbookViewId="0"/>
  </sheetViews>
  <sheetFormatPr defaultColWidth="9.140625" defaultRowHeight="12.75"/>
  <cols>
    <col min="1" max="1" width="1.140625" style="436" customWidth="1"/>
    <col min="2" max="2" width="33.28515625" style="436" customWidth="1"/>
    <col min="3" max="3" width="21" style="436" customWidth="1"/>
    <col min="4" max="4" width="31.7109375" style="436" bestFit="1" customWidth="1"/>
    <col min="5" max="5" width="48.140625" style="436" customWidth="1"/>
    <col min="6" max="6" width="45.5703125" style="436" customWidth="1"/>
    <col min="7" max="7" width="7.7109375" style="436" customWidth="1"/>
    <col min="8" max="8" width="30.42578125" style="436" bestFit="1" customWidth="1"/>
    <col min="9" max="10" width="9.140625" style="436"/>
    <col min="11" max="11" width="11.140625" style="436" customWidth="1"/>
    <col min="12" max="16384" width="9.140625" style="436"/>
  </cols>
  <sheetData>
    <row r="1" spans="2:17">
      <c r="C1" s="437"/>
      <c r="D1" s="438"/>
    </row>
    <row r="2" spans="2:17">
      <c r="B2" s="439" t="s">
        <v>1982</v>
      </c>
      <c r="C2" s="440"/>
      <c r="H2" s="441" t="s">
        <v>1983</v>
      </c>
    </row>
    <row r="3" spans="2:17">
      <c r="B3" s="1608" t="s">
        <v>1944</v>
      </c>
      <c r="C3" s="1608" t="s">
        <v>1945</v>
      </c>
      <c r="D3" s="1609" t="s">
        <v>935</v>
      </c>
      <c r="E3" s="1609" t="s">
        <v>1984</v>
      </c>
      <c r="F3" s="1609" t="s">
        <v>1985</v>
      </c>
      <c r="H3" s="441" t="s">
        <v>1986</v>
      </c>
      <c r="M3" s="436" t="s">
        <v>1987</v>
      </c>
      <c r="O3" s="436" t="s">
        <v>1987</v>
      </c>
      <c r="P3" s="436" t="s">
        <v>1987</v>
      </c>
    </row>
    <row r="4" spans="2:17">
      <c r="B4" s="1610" t="s">
        <v>1988</v>
      </c>
      <c r="C4" s="1611" t="e">
        <f>12*C5*(1-$E$13)*1/$E$16</f>
        <v>#DIV/0!</v>
      </c>
      <c r="D4" s="1587" t="s">
        <v>1989</v>
      </c>
      <c r="E4" s="1587"/>
      <c r="F4" s="1587"/>
      <c r="H4" s="1608" t="s">
        <v>1990</v>
      </c>
      <c r="I4" s="1608" t="s">
        <v>1991</v>
      </c>
      <c r="J4" s="1608" t="s">
        <v>1992</v>
      </c>
      <c r="K4" s="1608" t="s">
        <v>1993</v>
      </c>
      <c r="L4" s="1608" t="s">
        <v>1994</v>
      </c>
      <c r="M4" s="1608" t="s">
        <v>976</v>
      </c>
      <c r="N4" s="1608" t="s">
        <v>596</v>
      </c>
      <c r="O4" s="1608" t="s">
        <v>600</v>
      </c>
      <c r="P4" s="1608" t="s">
        <v>598</v>
      </c>
      <c r="Q4" s="1608" t="s">
        <v>601</v>
      </c>
    </row>
    <row r="5" spans="2:17">
      <c r="B5" s="1610" t="s">
        <v>1949</v>
      </c>
      <c r="C5" s="1612"/>
      <c r="D5" s="1587"/>
      <c r="E5" s="1587"/>
      <c r="F5" s="1587" t="s">
        <v>1995</v>
      </c>
      <c r="H5" s="1610" t="s">
        <v>1988</v>
      </c>
      <c r="I5" s="1611" t="e">
        <f t="shared" ref="I5:Q5" si="0">12*I6*(1-$E$13)*1/$E$16</f>
        <v>#DIV/0!</v>
      </c>
      <c r="J5" s="1611" t="e">
        <f t="shared" si="0"/>
        <v>#DIV/0!</v>
      </c>
      <c r="K5" s="1611" t="e">
        <f t="shared" si="0"/>
        <v>#DIV/0!</v>
      </c>
      <c r="L5" s="1611" t="e">
        <f t="shared" si="0"/>
        <v>#DIV/0!</v>
      </c>
      <c r="M5" s="1611" t="e">
        <f t="shared" si="0"/>
        <v>#DIV/0!</v>
      </c>
      <c r="N5" s="1611" t="e">
        <f t="shared" si="0"/>
        <v>#DIV/0!</v>
      </c>
      <c r="O5" s="1611" t="e">
        <f t="shared" si="0"/>
        <v>#DIV/0!</v>
      </c>
      <c r="P5" s="1611" t="e">
        <f t="shared" si="0"/>
        <v>#DIV/0!</v>
      </c>
      <c r="Q5" s="1611" t="e">
        <f t="shared" si="0"/>
        <v>#DIV/0!</v>
      </c>
    </row>
    <row r="6" spans="2:17">
      <c r="B6" s="1610" t="s">
        <v>1996</v>
      </c>
      <c r="C6" s="1613"/>
      <c r="D6" s="1587" t="s">
        <v>1997</v>
      </c>
      <c r="E6" s="1587"/>
      <c r="F6" s="1614"/>
      <c r="H6" s="1610" t="s">
        <v>1949</v>
      </c>
      <c r="I6" s="1615"/>
      <c r="J6" s="1615"/>
      <c r="K6" s="1615"/>
      <c r="L6" s="1615"/>
      <c r="M6" s="1586"/>
      <c r="N6" s="1616"/>
      <c r="O6" s="1586"/>
      <c r="P6" s="1586"/>
      <c r="Q6" s="1586"/>
    </row>
    <row r="7" spans="2:17">
      <c r="B7" s="1610" t="s">
        <v>1998</v>
      </c>
      <c r="C7" s="1613"/>
      <c r="D7" s="1587" t="s">
        <v>1999</v>
      </c>
      <c r="E7" s="1587"/>
      <c r="F7" s="1614"/>
      <c r="H7" s="1610" t="s">
        <v>1996</v>
      </c>
      <c r="I7" s="1775">
        <f>C6</f>
        <v>0</v>
      </c>
      <c r="J7" s="1776"/>
      <c r="K7" s="1776"/>
      <c r="L7" s="1776"/>
      <c r="M7" s="1776"/>
      <c r="N7" s="1776"/>
      <c r="O7" s="1776"/>
      <c r="P7" s="1776"/>
      <c r="Q7" s="1777"/>
    </row>
    <row r="8" spans="2:17">
      <c r="B8" s="1610" t="s">
        <v>2000</v>
      </c>
      <c r="C8" s="1617"/>
      <c r="D8" s="1587" t="s">
        <v>2001</v>
      </c>
      <c r="E8" s="1587" t="s">
        <v>2002</v>
      </c>
      <c r="F8" s="1618"/>
      <c r="G8" s="442"/>
      <c r="H8" s="1610" t="s">
        <v>2000</v>
      </c>
      <c r="I8" s="1778">
        <f>C8</f>
        <v>0</v>
      </c>
      <c r="J8" s="1779"/>
      <c r="K8" s="1779"/>
      <c r="L8" s="1779"/>
      <c r="M8" s="1779"/>
      <c r="N8" s="1779"/>
      <c r="O8" s="1779"/>
      <c r="P8" s="1779"/>
      <c r="Q8" s="1780"/>
    </row>
    <row r="9" spans="2:17">
      <c r="B9" s="1610" t="s">
        <v>2003</v>
      </c>
      <c r="C9" s="1613"/>
      <c r="D9" s="1587" t="s">
        <v>2004</v>
      </c>
      <c r="E9" s="1587"/>
      <c r="F9" s="1618"/>
      <c r="H9" s="1610" t="s">
        <v>2003</v>
      </c>
      <c r="I9" s="1775">
        <f>C9</f>
        <v>0</v>
      </c>
      <c r="J9" s="1776"/>
      <c r="K9" s="1776"/>
      <c r="L9" s="1776"/>
      <c r="M9" s="1776"/>
      <c r="N9" s="1776"/>
      <c r="O9" s="1776"/>
      <c r="P9" s="1776"/>
      <c r="Q9" s="1777"/>
    </row>
    <row r="10" spans="2:17">
      <c r="B10" s="1610" t="s">
        <v>2005</v>
      </c>
      <c r="C10" s="1617"/>
      <c r="D10" s="1587" t="s">
        <v>2006</v>
      </c>
      <c r="E10" s="1587" t="s">
        <v>2007</v>
      </c>
      <c r="F10" s="1618"/>
      <c r="G10" s="442"/>
      <c r="H10" s="1610" t="s">
        <v>2005</v>
      </c>
      <c r="I10" s="1781">
        <f>C10</f>
        <v>0</v>
      </c>
      <c r="J10" s="1782"/>
      <c r="K10" s="1782"/>
      <c r="L10" s="1782"/>
      <c r="M10" s="1782"/>
      <c r="N10" s="1782"/>
      <c r="O10" s="1782"/>
      <c r="P10" s="1782"/>
      <c r="Q10" s="1783"/>
    </row>
    <row r="12" spans="2:17">
      <c r="D12" s="439" t="s">
        <v>2008</v>
      </c>
    </row>
    <row r="13" spans="2:17">
      <c r="D13" s="1583" t="s">
        <v>2009</v>
      </c>
      <c r="E13" s="1619" t="e">
        <f>C10/C8</f>
        <v>#DIV/0!</v>
      </c>
      <c r="H13" s="441" t="s">
        <v>2010</v>
      </c>
      <c r="M13" s="443">
        <v>4.2321999999999997</v>
      </c>
    </row>
    <row r="14" spans="2:17">
      <c r="D14" s="1583" t="s">
        <v>2011</v>
      </c>
      <c r="E14" s="1620" t="e">
        <f>1/C9</f>
        <v>#DIV/0!</v>
      </c>
      <c r="H14" s="441" t="s">
        <v>2012</v>
      </c>
      <c r="M14" s="436">
        <v>1.01916916988504</v>
      </c>
    </row>
    <row r="15" spans="2:17">
      <c r="D15" s="1583" t="s">
        <v>2013</v>
      </c>
      <c r="E15" s="1621">
        <f>ROUND(C6/(1-C7),4)</f>
        <v>0</v>
      </c>
      <c r="H15" s="441" t="s">
        <v>2014</v>
      </c>
      <c r="M15" s="436">
        <f>M13*M14</f>
        <v>4.313327760787466</v>
      </c>
    </row>
    <row r="16" spans="2:17">
      <c r="D16" s="1583" t="s">
        <v>1948</v>
      </c>
      <c r="E16" s="1622" t="e">
        <f>(((1+E15)^E14)*E15)/((1+E15)^E14-1)</f>
        <v>#DIV/0!</v>
      </c>
      <c r="H16" s="441" t="s">
        <v>2015</v>
      </c>
      <c r="M16" s="436">
        <v>0.3</v>
      </c>
    </row>
    <row r="17" spans="2:13">
      <c r="H17" s="441" t="s">
        <v>2016</v>
      </c>
      <c r="M17" s="436">
        <v>0.4</v>
      </c>
    </row>
    <row r="18" spans="2:13">
      <c r="H18" s="441" t="s">
        <v>2017</v>
      </c>
      <c r="M18" s="436">
        <v>0</v>
      </c>
    </row>
    <row r="20" spans="2:13">
      <c r="B20" s="1604" t="s">
        <v>1968</v>
      </c>
      <c r="C20" s="1605" t="e">
        <f>'REN 473'!C21</f>
        <v>#NAME?</v>
      </c>
      <c r="E20" s="444" t="s">
        <v>2018</v>
      </c>
      <c r="F20" s="444"/>
    </row>
    <row r="21" spans="2:13">
      <c r="B21" s="445" t="s">
        <v>1969</v>
      </c>
      <c r="C21" s="446">
        <f>'REN 473'!C22</f>
        <v>1.15E-2</v>
      </c>
      <c r="E21" s="447" t="s">
        <v>855</v>
      </c>
      <c r="F21" s="448" t="s">
        <v>37</v>
      </c>
    </row>
    <row r="22" spans="2:13">
      <c r="B22" s="445" t="s">
        <v>1970</v>
      </c>
      <c r="C22" s="446">
        <f>'REN 473'!C23</f>
        <v>0</v>
      </c>
      <c r="E22" s="449" t="s">
        <v>2019</v>
      </c>
      <c r="F22" s="450"/>
    </row>
    <row r="23" spans="2:13">
      <c r="B23" s="1604" t="s">
        <v>1971</v>
      </c>
      <c r="C23" s="1605" t="e">
        <f>'REN 473'!C24</f>
        <v>#REF!</v>
      </c>
      <c r="E23" s="449" t="s">
        <v>2020</v>
      </c>
      <c r="F23" s="450"/>
    </row>
    <row r="24" spans="2:13">
      <c r="E24" s="449" t="s">
        <v>2021</v>
      </c>
      <c r="F24" s="450"/>
    </row>
    <row r="25" spans="2:13">
      <c r="B25" s="1604" t="s">
        <v>1972</v>
      </c>
      <c r="C25" s="1623"/>
      <c r="E25" s="449" t="s">
        <v>2022</v>
      </c>
      <c r="F25" s="450"/>
    </row>
    <row r="26" spans="2:13">
      <c r="B26" s="445" t="s">
        <v>1973</v>
      </c>
      <c r="C26" s="472"/>
      <c r="E26" s="1624" t="s">
        <v>2023</v>
      </c>
      <c r="F26" s="1625"/>
    </row>
    <row r="27" spans="2:13">
      <c r="B27" s="445" t="s">
        <v>1974</v>
      </c>
      <c r="C27" s="472"/>
      <c r="E27" s="449" t="s">
        <v>2024</v>
      </c>
      <c r="F27" s="452"/>
    </row>
    <row r="28" spans="2:13">
      <c r="B28" s="1606" t="s">
        <v>1975</v>
      </c>
      <c r="C28" s="1626"/>
      <c r="E28" s="1624" t="s">
        <v>2025</v>
      </c>
      <c r="F28" s="1625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/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2026</v>
      </c>
      <c r="C2" s="9" t="s">
        <v>37</v>
      </c>
    </row>
    <row r="3" spans="2:3">
      <c r="B3" s="64" t="s">
        <v>2027</v>
      </c>
      <c r="C3" t="e">
        <f t="shared" ref="C3:C66" ca="1" si="0">INDIRECT(B3)</f>
        <v>#REF!</v>
      </c>
    </row>
    <row r="4" spans="2:3">
      <c r="B4" s="64" t="s">
        <v>2028</v>
      </c>
      <c r="C4" t="e">
        <f t="shared" ca="1" si="0"/>
        <v>#REF!</v>
      </c>
    </row>
    <row r="5" spans="2:3">
      <c r="B5" s="64" t="s">
        <v>2029</v>
      </c>
      <c r="C5" t="e">
        <f t="shared" ca="1" si="0"/>
        <v>#REF!</v>
      </c>
    </row>
    <row r="6" spans="2:3">
      <c r="B6" s="64" t="s">
        <v>2030</v>
      </c>
      <c r="C6" t="e">
        <f t="shared" ca="1" si="0"/>
        <v>#REF!</v>
      </c>
    </row>
    <row r="7" spans="2:3">
      <c r="B7" s="64" t="s">
        <v>2031</v>
      </c>
      <c r="C7" t="e">
        <f t="shared" ca="1" si="0"/>
        <v>#REF!</v>
      </c>
    </row>
    <row r="8" spans="2:3">
      <c r="B8" s="64" t="s">
        <v>2032</v>
      </c>
      <c r="C8" t="e">
        <f t="shared" ca="1" si="0"/>
        <v>#REF!</v>
      </c>
    </row>
    <row r="9" spans="2:3">
      <c r="B9" s="64" t="s">
        <v>2033</v>
      </c>
      <c r="C9" t="e">
        <f t="shared" ca="1" si="0"/>
        <v>#REF!</v>
      </c>
    </row>
    <row r="10" spans="2:3">
      <c r="B10" s="64" t="s">
        <v>2034</v>
      </c>
      <c r="C10" t="e">
        <f t="shared" ca="1" si="0"/>
        <v>#REF!</v>
      </c>
    </row>
    <row r="11" spans="2:3">
      <c r="B11" s="64" t="s">
        <v>2035</v>
      </c>
      <c r="C11" t="e">
        <f t="shared" ca="1" si="0"/>
        <v>#REF!</v>
      </c>
    </row>
    <row r="12" spans="2:3">
      <c r="B12" s="63" t="s">
        <v>2036</v>
      </c>
      <c r="C12" t="e">
        <f t="shared" ca="1" si="0"/>
        <v>#REF!</v>
      </c>
    </row>
    <row r="13" spans="2:3">
      <c r="B13" s="63" t="s">
        <v>2037</v>
      </c>
      <c r="C13" t="e">
        <f t="shared" ca="1" si="0"/>
        <v>#REF!</v>
      </c>
    </row>
    <row r="14" spans="2:3">
      <c r="B14" s="63" t="s">
        <v>2038</v>
      </c>
      <c r="C14">
        <f t="shared" ca="1" si="0"/>
        <v>2022</v>
      </c>
    </row>
    <row r="15" spans="2:3">
      <c r="B15" s="63" t="s">
        <v>2039</v>
      </c>
      <c r="C15">
        <f t="shared" ca="1" si="0"/>
        <v>2022</v>
      </c>
    </row>
    <row r="16" spans="2:3">
      <c r="B16" s="63" t="s">
        <v>2040</v>
      </c>
      <c r="C16">
        <f t="shared" ca="1" si="0"/>
        <v>44710</v>
      </c>
    </row>
    <row r="17" spans="2:3">
      <c r="B17" s="63" t="s">
        <v>2041</v>
      </c>
      <c r="C17">
        <f t="shared" ca="1" si="0"/>
        <v>11220.683000000005</v>
      </c>
    </row>
    <row r="18" spans="2:3">
      <c r="B18" s="63" t="s">
        <v>2042</v>
      </c>
      <c r="C18">
        <f t="shared" ca="1" si="0"/>
        <v>0</v>
      </c>
    </row>
    <row r="19" spans="2:3">
      <c r="B19" s="63" t="s">
        <v>2043</v>
      </c>
      <c r="C19">
        <f t="shared" ca="1" si="0"/>
        <v>10907.865000000005</v>
      </c>
    </row>
    <row r="20" spans="2:3">
      <c r="B20" s="63" t="s">
        <v>2044</v>
      </c>
      <c r="C20" t="e">
        <f t="shared" ca="1" si="0"/>
        <v>#VALUE!</v>
      </c>
    </row>
    <row r="21" spans="2:3">
      <c r="B21" s="63" t="s">
        <v>2045</v>
      </c>
      <c r="C21">
        <f t="shared" ca="1" si="0"/>
        <v>5377</v>
      </c>
    </row>
    <row r="22" spans="2:3">
      <c r="B22" s="63" t="s">
        <v>1145</v>
      </c>
      <c r="C22">
        <f t="shared" ca="1" si="0"/>
        <v>254</v>
      </c>
    </row>
    <row r="23" spans="2:3">
      <c r="B23" s="63" t="s">
        <v>2046</v>
      </c>
      <c r="C23">
        <f t="shared" ca="1" si="0"/>
        <v>0.11798881605826739</v>
      </c>
    </row>
    <row r="24" spans="2:3">
      <c r="B24" s="63" t="s">
        <v>2047</v>
      </c>
      <c r="C24" t="e">
        <f t="shared" ca="1" si="0"/>
        <v>#REF!</v>
      </c>
    </row>
    <row r="25" spans="2:3">
      <c r="B25" s="63" t="s">
        <v>2048</v>
      </c>
      <c r="C25">
        <f t="shared" ca="1" si="0"/>
        <v>0</v>
      </c>
    </row>
    <row r="26" spans="2:3">
      <c r="B26" s="63" t="s">
        <v>2049</v>
      </c>
      <c r="C26">
        <f t="shared" ca="1" si="0"/>
        <v>0</v>
      </c>
    </row>
    <row r="27" spans="2:3">
      <c r="B27" s="63" t="s">
        <v>2050</v>
      </c>
      <c r="C27" t="e">
        <f t="shared" ca="1" si="0"/>
        <v>#REF!</v>
      </c>
    </row>
    <row r="28" spans="2:3">
      <c r="B28" s="63" t="s">
        <v>2051</v>
      </c>
      <c r="C28" t="e">
        <f t="shared" ca="1" si="0"/>
        <v>#REF!</v>
      </c>
    </row>
    <row r="29" spans="2:3">
      <c r="B29" s="63" t="s">
        <v>2052</v>
      </c>
      <c r="C29">
        <f t="shared" ca="1" si="0"/>
        <v>0</v>
      </c>
    </row>
    <row r="30" spans="2:3">
      <c r="B30" s="63" t="s">
        <v>2053</v>
      </c>
      <c r="C30">
        <f t="shared" ca="1" si="0"/>
        <v>6235</v>
      </c>
    </row>
    <row r="31" spans="2:3">
      <c r="B31" s="63" t="s">
        <v>2054</v>
      </c>
      <c r="C31">
        <f t="shared" ca="1" si="0"/>
        <v>44710</v>
      </c>
    </row>
    <row r="32" spans="2:3">
      <c r="B32" s="63" t="s">
        <v>2055</v>
      </c>
      <c r="C32" t="e">
        <f t="shared" ca="1" si="0"/>
        <v>#REF!</v>
      </c>
    </row>
    <row r="33" spans="2:3">
      <c r="B33" s="63" t="s">
        <v>2056</v>
      </c>
      <c r="C33">
        <f t="shared" ca="1" si="0"/>
        <v>1.9174775358058577E-2</v>
      </c>
    </row>
    <row r="34" spans="2:3">
      <c r="B34" s="63" t="s">
        <v>2057</v>
      </c>
      <c r="C34" t="e">
        <f t="shared" ca="1" si="0"/>
        <v>#REF!</v>
      </c>
    </row>
    <row r="35" spans="2:3">
      <c r="B35" s="63" t="s">
        <v>2058</v>
      </c>
      <c r="C35">
        <f t="shared" ca="1" si="0"/>
        <v>0</v>
      </c>
    </row>
    <row r="36" spans="2:3">
      <c r="B36" s="63" t="s">
        <v>2059</v>
      </c>
      <c r="C36" t="e">
        <f t="shared" ca="1" si="0"/>
        <v>#REF!</v>
      </c>
    </row>
    <row r="37" spans="2:3">
      <c r="B37" s="63" t="s">
        <v>2060</v>
      </c>
      <c r="C37" t="e">
        <f t="shared" ca="1" si="0"/>
        <v>#REF!</v>
      </c>
    </row>
    <row r="38" spans="2:3">
      <c r="B38" s="64" t="s">
        <v>2061</v>
      </c>
      <c r="C38" t="e">
        <f t="shared" ca="1" si="0"/>
        <v>#REF!</v>
      </c>
    </row>
    <row r="39" spans="2:3">
      <c r="B39" s="63" t="s">
        <v>2062</v>
      </c>
      <c r="C39" t="e">
        <f t="shared" ca="1" si="0"/>
        <v>#REF!</v>
      </c>
    </row>
    <row r="40" spans="2:3">
      <c r="B40" s="63" t="s">
        <v>2063</v>
      </c>
      <c r="C40" t="e">
        <f t="shared" ca="1" si="0"/>
        <v>#REF!</v>
      </c>
    </row>
    <row r="41" spans="2:3">
      <c r="B41" s="63" t="s">
        <v>2064</v>
      </c>
      <c r="C41">
        <f t="shared" ca="1" si="0"/>
        <v>0.22057385430503129</v>
      </c>
    </row>
    <row r="42" spans="2:3">
      <c r="B42" s="63" t="s">
        <v>2065</v>
      </c>
      <c r="C42">
        <f t="shared" ca="1" si="0"/>
        <v>0.14967900082180763</v>
      </c>
    </row>
    <row r="43" spans="2:3">
      <c r="B43" s="63" t="s">
        <v>2066</v>
      </c>
      <c r="C43">
        <f t="shared" ca="1" si="0"/>
        <v>0.22232672961748845</v>
      </c>
    </row>
    <row r="44" spans="2:3">
      <c r="B44" s="63" t="s">
        <v>2067</v>
      </c>
      <c r="C44" t="e">
        <f t="shared" ca="1" si="0"/>
        <v>#REF!</v>
      </c>
    </row>
    <row r="45" spans="2:3">
      <c r="B45" s="63" t="s">
        <v>2068</v>
      </c>
      <c r="C45" t="e">
        <f t="shared" ca="1" si="0"/>
        <v>#REF!</v>
      </c>
    </row>
    <row r="46" spans="2:3">
      <c r="B46" s="63" t="s">
        <v>2069</v>
      </c>
      <c r="C46" t="e">
        <f t="shared" ca="1" si="0"/>
        <v>#REF!</v>
      </c>
    </row>
    <row r="47" spans="2:3">
      <c r="B47" s="63" t="s">
        <v>2070</v>
      </c>
      <c r="C47">
        <f t="shared" ca="1" si="0"/>
        <v>0.22057385430503129</v>
      </c>
    </row>
    <row r="48" spans="2:3">
      <c r="B48" s="63" t="s">
        <v>2071</v>
      </c>
      <c r="C48">
        <f t="shared" ca="1" si="0"/>
        <v>3218115.4223371609</v>
      </c>
    </row>
    <row r="49" spans="2:3">
      <c r="B49" s="63" t="s">
        <v>2072</v>
      </c>
      <c r="C49">
        <f t="shared" ca="1" si="0"/>
        <v>12849.937059999998</v>
      </c>
    </row>
    <row r="50" spans="2:3">
      <c r="B50" s="63" t="s">
        <v>2073</v>
      </c>
      <c r="C50">
        <f t="shared" ca="1" si="0"/>
        <v>0.13669999999999999</v>
      </c>
    </row>
    <row r="51" spans="2:3">
      <c r="B51" s="63" t="s">
        <v>2074</v>
      </c>
      <c r="C51">
        <f t="shared" ca="1" si="0"/>
        <v>11220.683000000005</v>
      </c>
    </row>
    <row r="52" spans="2:3">
      <c r="B52" s="63" t="s">
        <v>2075</v>
      </c>
      <c r="C52">
        <f t="shared" ca="1" si="0"/>
        <v>11220.683000000005</v>
      </c>
    </row>
    <row r="53" spans="2:3">
      <c r="B53" s="63" t="s">
        <v>2076</v>
      </c>
      <c r="C53">
        <f t="shared" ca="1" si="0"/>
        <v>-8.5000000000000006E-3</v>
      </c>
    </row>
    <row r="54" spans="2:3">
      <c r="B54" s="63" t="s">
        <v>2077</v>
      </c>
      <c r="C54">
        <f t="shared" ca="1" si="0"/>
        <v>1.9549635221767968E-2</v>
      </c>
    </row>
    <row r="55" spans="2:3">
      <c r="B55" s="63" t="s">
        <v>2078</v>
      </c>
      <c r="C55">
        <f t="shared" ca="1" si="0"/>
        <v>0</v>
      </c>
    </row>
    <row r="56" spans="2:3">
      <c r="B56" s="63" t="s">
        <v>2079</v>
      </c>
      <c r="C56">
        <f t="shared" ca="1" si="0"/>
        <v>0</v>
      </c>
    </row>
    <row r="57" spans="2:3">
      <c r="B57" s="63" t="s">
        <v>2080</v>
      </c>
      <c r="C57">
        <f t="shared" ca="1" si="0"/>
        <v>1.6220382505345032E-2</v>
      </c>
    </row>
    <row r="58" spans="2:3">
      <c r="B58" s="63" t="s">
        <v>2081</v>
      </c>
      <c r="C58">
        <f t="shared" ca="1" si="0"/>
        <v>0.12131630216906664</v>
      </c>
    </row>
    <row r="59" spans="2:3">
      <c r="B59" s="63" t="s">
        <v>2082</v>
      </c>
      <c r="C59">
        <f t="shared" ca="1" si="0"/>
        <v>0.12981630216906664</v>
      </c>
    </row>
    <row r="60" spans="2:3">
      <c r="B60" s="63" t="s">
        <v>2083</v>
      </c>
      <c r="C60" t="e">
        <f t="shared" ca="1" si="0"/>
        <v>#REF!</v>
      </c>
    </row>
    <row r="61" spans="2:3">
      <c r="B61" s="63" t="s">
        <v>2084</v>
      </c>
      <c r="C61">
        <f t="shared" ca="1" si="0"/>
        <v>3.5947184215462807E-2</v>
      </c>
    </row>
    <row r="62" spans="2:3">
      <c r="B62" s="63" t="s">
        <v>2085</v>
      </c>
      <c r="C62">
        <f t="shared" ca="1" si="0"/>
        <v>0.21260000000000001</v>
      </c>
    </row>
    <row r="63" spans="2:3">
      <c r="B63" s="63" t="s">
        <v>2086</v>
      </c>
      <c r="C63">
        <f t="shared" ca="1" si="0"/>
        <v>2.0069905511451047E-2</v>
      </c>
    </row>
    <row r="64" spans="2:3">
      <c r="B64" s="63" t="s">
        <v>2087</v>
      </c>
      <c r="C64" t="e">
        <f t="shared" ca="1" si="0"/>
        <v>#REF!</v>
      </c>
    </row>
    <row r="65" spans="2:3">
      <c r="B65" s="63" t="s">
        <v>2088</v>
      </c>
      <c r="C65">
        <f t="shared" ca="1" si="0"/>
        <v>8.073418598479426E-2</v>
      </c>
    </row>
    <row r="66" spans="2:3">
      <c r="B66" s="63" t="s">
        <v>2089</v>
      </c>
      <c r="C66">
        <f t="shared" ca="1" si="0"/>
        <v>0.13187851870498213</v>
      </c>
    </row>
    <row r="67" spans="2:3">
      <c r="B67" s="63" t="s">
        <v>2090</v>
      </c>
      <c r="C67">
        <f t="shared" ref="C67:C130" ca="1" si="1">INDIRECT(B67)</f>
        <v>2.4717096257880447E-2</v>
      </c>
    </row>
    <row r="68" spans="2:3">
      <c r="B68" s="63" t="s">
        <v>2091</v>
      </c>
      <c r="C68">
        <f t="shared" ca="1" si="1"/>
        <v>8.3900000000000002E-2</v>
      </c>
    </row>
    <row r="69" spans="2:3">
      <c r="B69" s="63" t="s">
        <v>2092</v>
      </c>
      <c r="C69">
        <f t="shared" ca="1" si="1"/>
        <v>-4744.8044114288241</v>
      </c>
    </row>
    <row r="70" spans="2:3">
      <c r="B70" s="63" t="s">
        <v>2093</v>
      </c>
      <c r="C70" t="str">
        <f t="shared" ca="1" si="1"/>
        <v>Cooperativa de Eletrificação e Desenvolvimento Rural Centro Sul de Sergipe Ltda</v>
      </c>
    </row>
    <row r="71" spans="2:3">
      <c r="B71" s="63" t="s">
        <v>2094</v>
      </c>
      <c r="C71" t="e">
        <f t="shared" ca="1" si="1"/>
        <v>#REF!</v>
      </c>
    </row>
    <row r="72" spans="2:3">
      <c r="B72" s="63" t="s">
        <v>2095</v>
      </c>
      <c r="C72" t="str">
        <f t="shared" ca="1" si="1"/>
        <v>09/2008</v>
      </c>
    </row>
    <row r="73" spans="2:3">
      <c r="B73" s="63" t="s">
        <v>2096</v>
      </c>
      <c r="C73" t="str">
        <f t="shared" ca="1" si="1"/>
        <v>48500.004969/2021-88</v>
      </c>
    </row>
    <row r="74" spans="2:3">
      <c r="B74" s="63" t="s">
        <v>2097</v>
      </c>
      <c r="C74">
        <f t="shared" ca="1" si="1"/>
        <v>0.48875040203676878</v>
      </c>
    </row>
    <row r="75" spans="2:3">
      <c r="B75" s="63" t="s">
        <v>2098</v>
      </c>
      <c r="C75">
        <f t="shared" ca="1" si="1"/>
        <v>0.51124959796323122</v>
      </c>
    </row>
    <row r="76" spans="2:3">
      <c r="B76" s="63" t="s">
        <v>2099</v>
      </c>
      <c r="C76">
        <f t="shared" ca="1" si="1"/>
        <v>0.12679082025013388</v>
      </c>
    </row>
    <row r="77" spans="2:3">
      <c r="B77" s="63" t="s">
        <v>2100</v>
      </c>
      <c r="C77">
        <f t="shared" ca="1" si="1"/>
        <v>2.9543928527135457E-3</v>
      </c>
    </row>
    <row r="78" spans="2:3">
      <c r="B78" s="63" t="s">
        <v>2101</v>
      </c>
      <c r="C78">
        <f t="shared" ca="1" si="1"/>
        <v>1629.2540599999938</v>
      </c>
    </row>
    <row r="79" spans="2:3">
      <c r="B79" s="63" t="s">
        <v>2102</v>
      </c>
      <c r="C79">
        <f t="shared" ca="1" si="1"/>
        <v>0.12679082025013388</v>
      </c>
    </row>
    <row r="80" spans="2:3">
      <c r="B80" s="63" t="s">
        <v>2103</v>
      </c>
      <c r="C80">
        <f t="shared" ca="1" si="1"/>
        <v>178109.88409763679</v>
      </c>
    </row>
    <row r="81" spans="2:3">
      <c r="B81" s="63" t="s">
        <v>2104</v>
      </c>
      <c r="C81">
        <f t="shared" ca="1" si="1"/>
        <v>178109.88409763679</v>
      </c>
    </row>
    <row r="82" spans="2:3">
      <c r="B82" s="64" t="s">
        <v>2105</v>
      </c>
      <c r="C82">
        <f t="shared" ca="1" si="1"/>
        <v>158.70614807366212</v>
      </c>
    </row>
    <row r="83" spans="2:3">
      <c r="B83" s="63" t="s">
        <v>2106</v>
      </c>
      <c r="C83">
        <f t="shared" ca="1" si="1"/>
        <v>8669186.6415299959</v>
      </c>
    </row>
    <row r="84" spans="2:3">
      <c r="B84" s="63" t="s">
        <v>2107</v>
      </c>
      <c r="C84">
        <f t="shared" ca="1" si="1"/>
        <v>0</v>
      </c>
    </row>
    <row r="85" spans="2:3">
      <c r="B85" s="63" t="s">
        <v>2108</v>
      </c>
      <c r="C85">
        <f t="shared" ca="1" si="1"/>
        <v>0</v>
      </c>
    </row>
    <row r="86" spans="2:3">
      <c r="B86" s="63" t="s">
        <v>2109</v>
      </c>
      <c r="C86" t="str">
        <f t="shared" ca="1" si="1"/>
        <v>maio de 2021 a abril de 2022</v>
      </c>
    </row>
    <row r="87" spans="2:3">
      <c r="B87" s="63" t="s">
        <v>2110</v>
      </c>
      <c r="C87">
        <f t="shared" ca="1" si="1"/>
        <v>0</v>
      </c>
    </row>
    <row r="88" spans="2:3">
      <c r="B88" s="63" t="s">
        <v>2111</v>
      </c>
      <c r="C88" t="str">
        <f t="shared" ca="1" si="1"/>
        <v>Cercos</v>
      </c>
    </row>
    <row r="89" spans="2:3">
      <c r="B89" s="63" t="s">
        <v>2112</v>
      </c>
      <c r="C89">
        <f t="shared" ca="1" si="1"/>
        <v>-1029915.1601314496</v>
      </c>
    </row>
    <row r="90" spans="2:3">
      <c r="B90" s="63" t="s">
        <v>2113</v>
      </c>
      <c r="C90" t="e">
        <f t="shared" ca="1" si="1"/>
        <v>#REF!</v>
      </c>
    </row>
    <row r="91" spans="2:3">
      <c r="B91" s="64" t="s">
        <v>2114</v>
      </c>
      <c r="C91">
        <f t="shared" ca="1" si="1"/>
        <v>1447629.078219</v>
      </c>
    </row>
    <row r="92" spans="2:3">
      <c r="B92" s="64" t="s">
        <v>2115</v>
      </c>
      <c r="C92">
        <f t="shared" ca="1" si="1"/>
        <v>0.1072</v>
      </c>
    </row>
    <row r="93" spans="2:3">
      <c r="B93" s="64" t="s">
        <v>2116</v>
      </c>
      <c r="C93">
        <f t="shared" ca="1" si="1"/>
        <v>0.58350000000000002</v>
      </c>
    </row>
    <row r="94" spans="2:3">
      <c r="B94" s="64" t="s">
        <v>2117</v>
      </c>
      <c r="C94">
        <f t="shared" ca="1" si="1"/>
        <v>0.17369999999999999</v>
      </c>
    </row>
    <row r="95" spans="2:3">
      <c r="B95" s="64" t="s">
        <v>2118</v>
      </c>
      <c r="C95" t="e">
        <f t="shared" ca="1" si="1"/>
        <v>#VALUE!</v>
      </c>
    </row>
    <row r="96" spans="2:3">
      <c r="B96" s="64" t="s">
        <v>2119</v>
      </c>
      <c r="C96" t="e">
        <f t="shared" ca="1" si="1"/>
        <v>#VALUE!</v>
      </c>
    </row>
    <row r="97" spans="2:3">
      <c r="B97" s="64" t="s">
        <v>2120</v>
      </c>
      <c r="C97" t="e">
        <f t="shared" ca="1" si="1"/>
        <v>#VALUE!</v>
      </c>
    </row>
    <row r="98" spans="2:3">
      <c r="B98" s="64" t="s">
        <v>2121</v>
      </c>
      <c r="C98" t="e">
        <f t="shared" ca="1" si="1"/>
        <v>#VALUE!</v>
      </c>
    </row>
    <row r="99" spans="2:3">
      <c r="B99" s="63" t="s">
        <v>2122</v>
      </c>
      <c r="C99" t="e">
        <f t="shared" ca="1" si="1"/>
        <v>#VALUE!</v>
      </c>
    </row>
    <row r="100" spans="2:3">
      <c r="B100" s="64" t="s">
        <v>2123</v>
      </c>
      <c r="C100" t="e">
        <f t="shared" ca="1" si="1"/>
        <v>#VALUE!</v>
      </c>
    </row>
    <row r="101" spans="2:3">
      <c r="B101" s="63" t="s">
        <v>2124</v>
      </c>
      <c r="C101" t="e">
        <f t="shared" ca="1" si="1"/>
        <v>#VALUE!</v>
      </c>
    </row>
    <row r="102" spans="2:3">
      <c r="B102" s="63" t="s">
        <v>2125</v>
      </c>
      <c r="C102" t="e">
        <f t="shared" ca="1" si="1"/>
        <v>#VALUE!</v>
      </c>
    </row>
    <row r="103" spans="2:3">
      <c r="B103" s="63" t="s">
        <v>2126</v>
      </c>
      <c r="C103" t="e">
        <f t="shared" ca="1" si="1"/>
        <v>#VALUE!</v>
      </c>
    </row>
    <row r="104" spans="2:3">
      <c r="B104" s="63" t="s">
        <v>2127</v>
      </c>
      <c r="C104" t="e">
        <f t="shared" ca="1" si="1"/>
        <v>#VALUE!</v>
      </c>
    </row>
    <row r="105" spans="2:3">
      <c r="B105" s="63" t="s">
        <v>2128</v>
      </c>
      <c r="C105" t="e">
        <f t="shared" ca="1" si="1"/>
        <v>#VALUE!</v>
      </c>
    </row>
    <row r="106" spans="2:3">
      <c r="B106" s="63" t="s">
        <v>2129</v>
      </c>
      <c r="C106" t="e">
        <f t="shared" ca="1" si="1"/>
        <v>#VALUE!</v>
      </c>
    </row>
    <row r="107" spans="2:3">
      <c r="B107" s="63" t="s">
        <v>2130</v>
      </c>
      <c r="C107" t="e">
        <f t="shared" ca="1" si="1"/>
        <v>#VALUE!</v>
      </c>
    </row>
    <row r="108" spans="2:3">
      <c r="B108" s="63" t="s">
        <v>2131</v>
      </c>
      <c r="C108" t="e">
        <f t="shared" ca="1" si="1"/>
        <v>#REF!</v>
      </c>
    </row>
    <row r="109" spans="2:3">
      <c r="B109" s="63" t="s">
        <v>2132</v>
      </c>
      <c r="C109" t="e">
        <f t="shared" ca="1" si="1"/>
        <v>#REF!</v>
      </c>
    </row>
    <row r="110" spans="2:3">
      <c r="B110" s="63" t="s">
        <v>2133</v>
      </c>
      <c r="C110" t="e">
        <f t="shared" ca="1" si="1"/>
        <v>#REF!</v>
      </c>
    </row>
    <row r="111" spans="2:3">
      <c r="B111" s="63" t="s">
        <v>2134</v>
      </c>
      <c r="C111" t="e">
        <f t="shared" ca="1" si="1"/>
        <v>#REF!</v>
      </c>
    </row>
    <row r="112" spans="2:3">
      <c r="B112" s="63" t="s">
        <v>2135</v>
      </c>
      <c r="C112" t="e">
        <f t="shared" ca="1" si="1"/>
        <v>#REF!</v>
      </c>
    </row>
    <row r="113" spans="2:3">
      <c r="B113" s="63" t="s">
        <v>2136</v>
      </c>
      <c r="C113" t="e">
        <f t="shared" ca="1" si="1"/>
        <v>#REF!</v>
      </c>
    </row>
    <row r="114" spans="2:3">
      <c r="B114" s="63" t="s">
        <v>2137</v>
      </c>
      <c r="C114" t="e">
        <f t="shared" ca="1" si="1"/>
        <v>#REF!</v>
      </c>
    </row>
    <row r="115" spans="2:3">
      <c r="B115" s="63" t="s">
        <v>2138</v>
      </c>
      <c r="C115">
        <f t="shared" ca="1" si="1"/>
        <v>0</v>
      </c>
    </row>
    <row r="116" spans="2:3">
      <c r="B116" s="64" t="s">
        <v>2139</v>
      </c>
      <c r="C116">
        <f t="shared" ca="1" si="1"/>
        <v>198831.46699689492</v>
      </c>
    </row>
    <row r="117" spans="2:3">
      <c r="B117" s="63" t="s">
        <v>2140</v>
      </c>
      <c r="C117">
        <f t="shared" ca="1" si="1"/>
        <v>0</v>
      </c>
    </row>
    <row r="118" spans="2:3">
      <c r="B118" s="63" t="s">
        <v>2141</v>
      </c>
      <c r="C118">
        <f t="shared" ca="1" si="1"/>
        <v>0</v>
      </c>
    </row>
    <row r="119" spans="2:3">
      <c r="B119" s="64" t="s">
        <v>2142</v>
      </c>
      <c r="C119">
        <f t="shared" ca="1" si="1"/>
        <v>0</v>
      </c>
    </row>
    <row r="120" spans="2:3">
      <c r="B120" s="63" t="s">
        <v>2143</v>
      </c>
      <c r="C120">
        <f t="shared" ca="1" si="1"/>
        <v>0</v>
      </c>
    </row>
    <row r="121" spans="2:3">
      <c r="B121" s="63" t="s">
        <v>2144</v>
      </c>
      <c r="C121">
        <f t="shared" ca="1" si="1"/>
        <v>0</v>
      </c>
    </row>
    <row r="122" spans="2:3">
      <c r="B122" s="64" t="s">
        <v>2145</v>
      </c>
      <c r="C122">
        <f t="shared" ca="1" si="1"/>
        <v>0</v>
      </c>
    </row>
    <row r="123" spans="2:3">
      <c r="B123" s="63" t="s">
        <v>2146</v>
      </c>
      <c r="C123">
        <f t="shared" ca="1" si="1"/>
        <v>0</v>
      </c>
    </row>
    <row r="124" spans="2:3">
      <c r="B124" s="63" t="s">
        <v>2147</v>
      </c>
      <c r="C124">
        <f t="shared" ca="1" si="1"/>
        <v>0</v>
      </c>
    </row>
    <row r="125" spans="2:3">
      <c r="B125" s="64" t="s">
        <v>2148</v>
      </c>
      <c r="C125">
        <f t="shared" ca="1" si="1"/>
        <v>0</v>
      </c>
    </row>
    <row r="126" spans="2:3">
      <c r="B126" s="63" t="s">
        <v>2149</v>
      </c>
      <c r="C126">
        <f t="shared" ca="1" si="1"/>
        <v>81589.364739786834</v>
      </c>
    </row>
    <row r="127" spans="2:3">
      <c r="B127" s="63" t="s">
        <v>2150</v>
      </c>
      <c r="C127">
        <f t="shared" ca="1" si="1"/>
        <v>0</v>
      </c>
    </row>
    <row r="128" spans="2:3">
      <c r="B128" s="64" t="s">
        <v>2151</v>
      </c>
      <c r="C128">
        <f t="shared" ca="1" si="1"/>
        <v>17767.951796684072</v>
      </c>
    </row>
    <row r="129" spans="2:3">
      <c r="B129" s="63" t="s">
        <v>2152</v>
      </c>
      <c r="C129">
        <f t="shared" ca="1" si="1"/>
        <v>11220.683000000005</v>
      </c>
    </row>
    <row r="130" spans="2:3">
      <c r="B130" s="63" t="s">
        <v>2153</v>
      </c>
      <c r="C130">
        <f t="shared" ca="1" si="1"/>
        <v>8669186.6415299959</v>
      </c>
    </row>
    <row r="131" spans="2:3">
      <c r="B131" s="64" t="s">
        <v>2154</v>
      </c>
      <c r="C131" t="str">
        <f t="shared" ref="C131:C194" ca="1" si="2">INDIRECT(B131)</f>
        <v>Branca</v>
      </c>
    </row>
    <row r="132" spans="2:3">
      <c r="B132" s="63" t="s">
        <v>2155</v>
      </c>
      <c r="C132" t="e">
        <f t="shared" ca="1" si="2"/>
        <v>#VALUE!</v>
      </c>
    </row>
    <row r="133" spans="2:3">
      <c r="B133" s="64" t="s">
        <v>2156</v>
      </c>
      <c r="C133" t="e">
        <f t="shared" ca="1" si="2"/>
        <v>#REF!</v>
      </c>
    </row>
    <row r="134" spans="2:3">
      <c r="B134" s="63" t="s">
        <v>2157</v>
      </c>
      <c r="C134" t="e">
        <f t="shared" ca="1" si="2"/>
        <v>#REF!</v>
      </c>
    </row>
    <row r="135" spans="2:3">
      <c r="B135" s="63" t="s">
        <v>2158</v>
      </c>
      <c r="C135">
        <f t="shared" ca="1" si="2"/>
        <v>44652</v>
      </c>
    </row>
    <row r="136" spans="2:3">
      <c r="B136" s="63" t="s">
        <v>2159</v>
      </c>
      <c r="C136">
        <f t="shared" ca="1" si="2"/>
        <v>44317</v>
      </c>
    </row>
    <row r="137" spans="2:3">
      <c r="B137" s="63" t="s">
        <v>2160</v>
      </c>
      <c r="C137" t="e">
        <f t="shared" ca="1" si="2"/>
        <v>#REF!</v>
      </c>
    </row>
    <row r="138" spans="2:3">
      <c r="B138" s="63" t="s">
        <v>2161</v>
      </c>
      <c r="C138" t="e">
        <f t="shared" ca="1" si="2"/>
        <v>#REF!</v>
      </c>
    </row>
    <row r="139" spans="2:3">
      <c r="B139" s="63" t="s">
        <v>2162</v>
      </c>
      <c r="C139" t="e">
        <f t="shared" ca="1" si="2"/>
        <v>#REF!</v>
      </c>
    </row>
    <row r="140" spans="2:3">
      <c r="B140" s="63" t="s">
        <v>2163</v>
      </c>
      <c r="C140">
        <f t="shared" ca="1" si="2"/>
        <v>0</v>
      </c>
    </row>
    <row r="141" spans="2:3">
      <c r="B141" s="63" t="s">
        <v>2164</v>
      </c>
      <c r="C141" t="e">
        <f t="shared" ca="1" si="2"/>
        <v>#VALUE!</v>
      </c>
    </row>
    <row r="142" spans="2:3">
      <c r="B142" s="63" t="s">
        <v>2165</v>
      </c>
      <c r="C142" t="e">
        <f t="shared" ca="1" si="2"/>
        <v>#VALUE!</v>
      </c>
    </row>
    <row r="143" spans="2:3">
      <c r="B143" s="63" t="s">
        <v>2166</v>
      </c>
      <c r="C143" t="e">
        <f t="shared" ca="1" si="2"/>
        <v>#VALUE!</v>
      </c>
    </row>
    <row r="144" spans="2:3">
      <c r="B144" s="63" t="s">
        <v>2167</v>
      </c>
      <c r="C144" t="e">
        <f t="shared" ca="1" si="2"/>
        <v>#VALUE!</v>
      </c>
    </row>
    <row r="145" spans="2:3">
      <c r="B145" s="63" t="s">
        <v>2168</v>
      </c>
      <c r="C145" t="e">
        <f t="shared" ca="1" si="2"/>
        <v>#VALUE!</v>
      </c>
    </row>
    <row r="146" spans="2:3">
      <c r="B146" s="64" t="s">
        <v>2169</v>
      </c>
      <c r="C146" t="e">
        <f t="shared" ca="1" si="2"/>
        <v>#REF!</v>
      </c>
    </row>
    <row r="147" spans="2:3">
      <c r="B147" s="64" t="s">
        <v>2170</v>
      </c>
      <c r="C147" t="e">
        <f t="shared" ca="1" si="2"/>
        <v>#REF!</v>
      </c>
    </row>
    <row r="148" spans="2:3">
      <c r="B148" s="64" t="s">
        <v>2171</v>
      </c>
      <c r="C148" t="e">
        <f t="shared" ca="1" si="2"/>
        <v>#REF!</v>
      </c>
    </row>
    <row r="149" spans="2:3">
      <c r="B149" s="64" t="s">
        <v>2172</v>
      </c>
      <c r="C149" t="e">
        <f t="shared" ca="1" si="2"/>
        <v>#REF!</v>
      </c>
    </row>
    <row r="150" spans="2:3">
      <c r="B150" s="64" t="s">
        <v>2173</v>
      </c>
      <c r="C150" t="e">
        <f t="shared" ca="1" si="2"/>
        <v>#REF!</v>
      </c>
    </row>
    <row r="151" spans="2:3">
      <c r="B151" s="64" t="s">
        <v>2174</v>
      </c>
      <c r="C151" t="e">
        <f t="shared" ca="1" si="2"/>
        <v>#REF!</v>
      </c>
    </row>
    <row r="152" spans="2:3">
      <c r="B152" s="64" t="s">
        <v>2175</v>
      </c>
      <c r="C152" t="e">
        <f t="shared" ca="1" si="2"/>
        <v>#REF!</v>
      </c>
    </row>
    <row r="153" spans="2:3">
      <c r="B153" s="64" t="s">
        <v>2176</v>
      </c>
      <c r="C153" t="e">
        <f t="shared" ca="1" si="2"/>
        <v>#REF!</v>
      </c>
    </row>
    <row r="154" spans="2:3">
      <c r="B154" s="63" t="s">
        <v>2177</v>
      </c>
      <c r="C154" t="e">
        <f t="shared" ca="1" si="2"/>
        <v>#VALUE!</v>
      </c>
    </row>
    <row r="155" spans="2:3">
      <c r="B155" s="63" t="s">
        <v>2178</v>
      </c>
      <c r="C155" t="e">
        <f t="shared" ca="1" si="2"/>
        <v>#VALUE!</v>
      </c>
    </row>
    <row r="156" spans="2:3">
      <c r="B156" s="63" t="s">
        <v>2179</v>
      </c>
      <c r="C156" t="e">
        <f t="shared" ca="1" si="2"/>
        <v>#VALUE!</v>
      </c>
    </row>
    <row r="157" spans="2:3">
      <c r="B157" s="63" t="s">
        <v>2180</v>
      </c>
      <c r="C157" t="e">
        <f t="shared" ca="1" si="2"/>
        <v>#VALUE!</v>
      </c>
    </row>
    <row r="158" spans="2:3">
      <c r="B158" s="63" t="s">
        <v>2181</v>
      </c>
      <c r="C158" t="e">
        <f t="shared" ca="1" si="2"/>
        <v>#REF!</v>
      </c>
    </row>
    <row r="159" spans="2:3">
      <c r="B159" s="63" t="s">
        <v>2182</v>
      </c>
      <c r="C159" t="e">
        <f t="shared" ca="1" si="2"/>
        <v>#VALUE!</v>
      </c>
    </row>
    <row r="160" spans="2:3">
      <c r="B160" s="63" t="s">
        <v>2183</v>
      </c>
      <c r="C160" t="e">
        <f t="shared" ca="1" si="2"/>
        <v>#VALUE!</v>
      </c>
    </row>
    <row r="161" spans="2:3">
      <c r="B161" s="63" t="s">
        <v>2184</v>
      </c>
      <c r="C161" t="e">
        <f t="shared" ca="1" si="2"/>
        <v>#VALUE!</v>
      </c>
    </row>
    <row r="162" spans="2:3">
      <c r="B162" s="63" t="s">
        <v>2185</v>
      </c>
      <c r="C162" t="e">
        <f t="shared" ca="1" si="2"/>
        <v>#VALUE!</v>
      </c>
    </row>
    <row r="163" spans="2:3">
      <c r="B163" s="63" t="s">
        <v>2186</v>
      </c>
      <c r="C163" t="e">
        <f t="shared" ca="1" si="2"/>
        <v>#VALUE!</v>
      </c>
    </row>
    <row r="164" spans="2:3">
      <c r="B164" s="63" t="s">
        <v>2187</v>
      </c>
      <c r="C164" t="e">
        <f t="shared" ca="1" si="2"/>
        <v>#VALUE!</v>
      </c>
    </row>
    <row r="165" spans="2:3">
      <c r="B165" s="63" t="s">
        <v>2188</v>
      </c>
      <c r="C165" t="e">
        <f t="shared" ca="1" si="2"/>
        <v>#VALUE!</v>
      </c>
    </row>
    <row r="166" spans="2:3">
      <c r="B166" s="63" t="s">
        <v>2189</v>
      </c>
      <c r="C166" t="e">
        <f t="shared" ca="1" si="2"/>
        <v>#VALUE!</v>
      </c>
    </row>
    <row r="167" spans="2:3">
      <c r="B167" s="63" t="s">
        <v>2190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2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32</vt:i4>
      </vt:variant>
      <vt:variant>
        <vt:lpstr>Intervalos Nomeados</vt:lpstr>
      </vt:variant>
      <vt:variant>
        <vt:i4>227</vt:i4>
      </vt:variant>
    </vt:vector>
  </HeadingPairs>
  <TitlesOfParts>
    <vt:vector size="259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CVA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2022-05-24T19:49:14Z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